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N:\FIT2\Desktop\"/>
    </mc:Choice>
  </mc:AlternateContent>
  <xr:revisionPtr revIDLastSave="0" documentId="8_{8D2D095F-3B51-4F45-9EF4-47C9B7896595}" xr6:coauthVersionLast="47" xr6:coauthVersionMax="47" xr10:uidLastSave="{00000000-0000-0000-0000-000000000000}"/>
  <bookViews>
    <workbookView xWindow="-110" yWindow="-110" windowWidth="19420" windowHeight="10420" firstSheet="1" activeTab="1" xr2:uid="{4C49B81E-9089-412F-B625-A1AAC5B815AD}"/>
  </bookViews>
  <sheets>
    <sheet name="Indholdsfortegnelse" sheetId="22" r:id="rId1"/>
    <sheet name="Solvensbehov" sheetId="21" r:id="rId2"/>
    <sheet name="EU CC1 DK" sheetId="1" r:id="rId3"/>
    <sheet name="EU CC2 DK" sheetId="2" r:id="rId4"/>
    <sheet name="EU CCyB1 DK" sheetId="3" r:id="rId5"/>
    <sheet name="EU CCyB2 DK" sheetId="4" r:id="rId6"/>
    <sheet name="EU CR1 DK" sheetId="5" r:id="rId7"/>
    <sheet name="EU CR1-A DK" sheetId="6" r:id="rId8"/>
    <sheet name="EU CR2 DK" sheetId="7" r:id="rId9"/>
    <sheet name="EU CR3 DK" sheetId="8" r:id="rId10"/>
    <sheet name="EU CR4 DK" sheetId="9" r:id="rId11"/>
    <sheet name="EU CR5 DK" sheetId="10" r:id="rId12"/>
    <sheet name="EU CCR1 DK" sheetId="11" r:id="rId13"/>
    <sheet name="EU CCR2 DK" sheetId="12" r:id="rId14"/>
    <sheet name="EU CCR3 DK" sheetId="13" r:id="rId15"/>
    <sheet name="EU CCR5 DK" sheetId="14" r:id="rId16"/>
    <sheet name="EU CCR8 DK" sheetId="15" r:id="rId17"/>
    <sheet name="EU MR1 DK" sheetId="18" r:id="rId18"/>
    <sheet name="EU IRRBB1 DK" sheetId="19" r:id="rId19"/>
    <sheet name="EU LIQ2 DK" sheetId="20" r:id="rId20"/>
    <sheet name="EU LR1 - LRSum DK" sheetId="16" r:id="rId21"/>
    <sheet name="EU LR2 - LRCom DK" sheetId="17" r:id="rId22"/>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21" l="1"/>
  <c r="D12" i="21"/>
  <c r="B9" i="21"/>
  <c r="B12" i="21"/>
  <c r="E9" i="21"/>
  <c r="C9" i="21"/>
  <c r="F10" i="19"/>
  <c r="E10" i="19"/>
  <c r="C16" i="18"/>
  <c r="D72" i="17"/>
  <c r="D71" i="17"/>
  <c r="C70" i="17"/>
  <c r="C69" i="17"/>
  <c r="C68" i="17"/>
  <c r="D14" i="17"/>
  <c r="D26" i="17"/>
  <c r="D34" i="17"/>
  <c r="D39" i="17"/>
  <c r="D54" i="17"/>
  <c r="C8" i="17"/>
  <c r="C13" i="17"/>
  <c r="C14" i="17"/>
  <c r="C16" i="17"/>
  <c r="C18" i="17"/>
  <c r="C26" i="17"/>
  <c r="C28" i="17"/>
  <c r="C29" i="17"/>
  <c r="C34" i="17"/>
  <c r="C39" i="17"/>
  <c r="C54" i="17"/>
  <c r="C53" i="17"/>
  <c r="C37" i="17"/>
  <c r="C36" i="17"/>
  <c r="C7" i="16"/>
  <c r="C14" i="16"/>
  <c r="C15" i="16"/>
  <c r="C16" i="16"/>
  <c r="C20" i="16"/>
  <c r="C21" i="16"/>
  <c r="N9" i="13"/>
  <c r="N10" i="13"/>
  <c r="N11" i="13"/>
  <c r="N12" i="13"/>
  <c r="N13" i="13"/>
  <c r="G14" i="13"/>
  <c r="H14" i="13"/>
  <c r="N14" i="13"/>
  <c r="K15" i="13"/>
  <c r="N15" i="13"/>
  <c r="J16" i="13"/>
  <c r="N16" i="13"/>
  <c r="N17" i="13"/>
  <c r="L18" i="13"/>
  <c r="N18" i="13"/>
  <c r="N19" i="13"/>
  <c r="M19" i="13"/>
  <c r="L19" i="13"/>
  <c r="K19" i="13"/>
  <c r="J19" i="13"/>
  <c r="I19" i="13"/>
  <c r="H19" i="13"/>
  <c r="G19" i="13"/>
  <c r="F19" i="13"/>
  <c r="E19" i="13"/>
  <c r="D19" i="13"/>
  <c r="C19" i="13"/>
  <c r="J18" i="11"/>
  <c r="I18" i="11"/>
  <c r="H18" i="11"/>
  <c r="G18" i="11"/>
  <c r="S13" i="10"/>
  <c r="S14" i="10"/>
  <c r="S24" i="10"/>
  <c r="C24" i="10"/>
  <c r="D24" i="10"/>
  <c r="E24" i="10"/>
  <c r="F24" i="10"/>
  <c r="G24" i="10"/>
  <c r="H24" i="10"/>
  <c r="I24" i="10"/>
  <c r="J24" i="10"/>
  <c r="K24" i="10"/>
  <c r="L24" i="10"/>
  <c r="M24" i="10"/>
  <c r="N24" i="10"/>
  <c r="P24" i="10"/>
  <c r="Q24" i="10"/>
  <c r="R24" i="10"/>
  <c r="R23" i="10"/>
  <c r="R22" i="10"/>
  <c r="R21" i="10"/>
  <c r="R20" i="10"/>
  <c r="R19" i="10"/>
  <c r="R18" i="10"/>
  <c r="R17" i="10"/>
  <c r="R16" i="10"/>
  <c r="R15" i="10"/>
  <c r="R14" i="10"/>
  <c r="R13" i="10"/>
  <c r="R12" i="10"/>
  <c r="R11" i="10"/>
  <c r="R10" i="10"/>
  <c r="R9" i="10"/>
  <c r="R8" i="10"/>
  <c r="F25" i="9"/>
  <c r="E25" i="9"/>
  <c r="D25" i="9"/>
  <c r="C25" i="9"/>
  <c r="B25" i="9"/>
  <c r="F24" i="9"/>
  <c r="E24" i="9"/>
  <c r="D24" i="9"/>
  <c r="C24" i="9"/>
  <c r="B24" i="9"/>
  <c r="F23" i="9"/>
  <c r="D23" i="9"/>
  <c r="B23" i="9"/>
  <c r="F22" i="9"/>
  <c r="D22" i="9"/>
  <c r="B22" i="9"/>
  <c r="F19" i="9"/>
  <c r="E19" i="9"/>
  <c r="D19" i="9"/>
  <c r="C19" i="9"/>
  <c r="B19" i="9"/>
  <c r="F18" i="9"/>
  <c r="E18" i="9"/>
  <c r="D18" i="9"/>
  <c r="C18" i="9"/>
  <c r="B18" i="9"/>
  <c r="F17" i="9"/>
  <c r="E17" i="9"/>
  <c r="D17" i="9"/>
  <c r="C17" i="9"/>
  <c r="B17" i="9"/>
  <c r="F16" i="9"/>
  <c r="E16" i="9"/>
  <c r="D16" i="9"/>
  <c r="C16" i="9"/>
  <c r="B16" i="9"/>
  <c r="F15" i="9"/>
  <c r="E15" i="9"/>
  <c r="D15" i="9"/>
  <c r="C15" i="9"/>
  <c r="B15" i="9"/>
  <c r="F14" i="9"/>
  <c r="E14" i="9"/>
  <c r="D14" i="9"/>
  <c r="C14" i="9"/>
  <c r="B14" i="9"/>
  <c r="F11" i="9"/>
  <c r="D11" i="9"/>
  <c r="B11" i="9"/>
  <c r="E10" i="9"/>
  <c r="D10" i="9"/>
  <c r="C10" i="9"/>
  <c r="B10" i="9"/>
  <c r="F9" i="9"/>
  <c r="D9" i="9"/>
  <c r="C9" i="9"/>
  <c r="B9" i="9"/>
  <c r="C11" i="7"/>
  <c r="Q10" i="5"/>
  <c r="Q24" i="5"/>
  <c r="Q31" i="5"/>
  <c r="P10" i="5"/>
  <c r="P24" i="5"/>
  <c r="P31" i="5"/>
  <c r="O10" i="5"/>
  <c r="O31" i="5"/>
  <c r="N10" i="5"/>
  <c r="N24" i="5"/>
  <c r="N31" i="5"/>
  <c r="M10" i="5"/>
  <c r="M24" i="5"/>
  <c r="M31" i="5"/>
  <c r="L10" i="5"/>
  <c r="L24" i="5"/>
  <c r="L31" i="5"/>
  <c r="K10" i="5"/>
  <c r="K24" i="5"/>
  <c r="K31" i="5"/>
  <c r="J10" i="5"/>
  <c r="J24" i="5"/>
  <c r="J31" i="5"/>
  <c r="I10" i="5"/>
  <c r="I24" i="5"/>
  <c r="I31" i="5"/>
  <c r="H10" i="5"/>
  <c r="H24" i="5"/>
  <c r="H31" i="5"/>
  <c r="G10" i="5"/>
  <c r="G24" i="5"/>
  <c r="G31" i="5"/>
  <c r="F10" i="5"/>
  <c r="F24" i="5"/>
  <c r="F31" i="5"/>
  <c r="E10" i="5"/>
  <c r="E24" i="5"/>
  <c r="E31" i="5"/>
  <c r="D10" i="5"/>
  <c r="D24" i="5"/>
  <c r="D31" i="5"/>
  <c r="C10" i="5"/>
  <c r="C24" i="5"/>
  <c r="C31" i="5"/>
  <c r="C7" i="4"/>
  <c r="M10" i="3"/>
  <c r="M11" i="3"/>
  <c r="M12" i="3"/>
  <c r="I10" i="3"/>
  <c r="I11" i="3"/>
  <c r="I12" i="3"/>
  <c r="J10" i="3"/>
  <c r="J11" i="3"/>
  <c r="J12" i="3"/>
  <c r="L12" i="3"/>
  <c r="C10" i="3"/>
  <c r="C11" i="3"/>
  <c r="C12" i="3"/>
  <c r="E10" i="3"/>
  <c r="E11" i="3"/>
  <c r="E12" i="3"/>
  <c r="H12" i="3"/>
  <c r="L11" i="3"/>
  <c r="H11" i="3"/>
  <c r="L10" i="3"/>
  <c r="H10" i="3"/>
  <c r="B45" i="2"/>
  <c r="C45" i="2"/>
  <c r="B44" i="2"/>
  <c r="C44" i="2"/>
  <c r="B43" i="2"/>
  <c r="C43" i="2"/>
  <c r="B42" i="2"/>
  <c r="C42" i="2"/>
  <c r="B41" i="2"/>
  <c r="C41" i="2"/>
  <c r="B40" i="2"/>
  <c r="C40" i="2"/>
  <c r="B39" i="2"/>
  <c r="C39" i="2"/>
  <c r="B38" i="2"/>
  <c r="C38" i="2"/>
  <c r="B36" i="2"/>
  <c r="C36" i="2"/>
  <c r="B35" i="2"/>
  <c r="C35" i="2"/>
  <c r="B34" i="2"/>
  <c r="C34" i="2"/>
  <c r="B33" i="2"/>
  <c r="C33" i="2"/>
  <c r="B32" i="2"/>
  <c r="C32" i="2"/>
  <c r="B31" i="2"/>
  <c r="C31" i="2"/>
  <c r="B30" i="2"/>
  <c r="C30" i="2"/>
  <c r="B29" i="2"/>
  <c r="C29" i="2"/>
  <c r="B28" i="2"/>
  <c r="C28" i="2"/>
  <c r="B27" i="2"/>
  <c r="C27" i="2"/>
  <c r="B25" i="2"/>
  <c r="C25" i="2"/>
  <c r="B24" i="2"/>
  <c r="C24" i="2"/>
  <c r="B23" i="2"/>
  <c r="C23" i="2"/>
  <c r="B22" i="2"/>
  <c r="C22" i="2"/>
  <c r="B21" i="2"/>
  <c r="C21" i="2"/>
  <c r="B20" i="2"/>
  <c r="C20" i="2"/>
  <c r="B19" i="2"/>
  <c r="C19" i="2"/>
  <c r="B18" i="2"/>
  <c r="C18" i="2"/>
  <c r="B17" i="2"/>
  <c r="C17" i="2"/>
  <c r="B16" i="2"/>
  <c r="C16" i="2"/>
  <c r="B15" i="2"/>
  <c r="C15" i="2"/>
  <c r="B14" i="2"/>
  <c r="C14" i="2"/>
  <c r="B13" i="2"/>
  <c r="C13" i="2"/>
  <c r="B12" i="2"/>
  <c r="C12" i="2"/>
  <c r="B11" i="2"/>
  <c r="C11" i="2"/>
  <c r="B10" i="2"/>
  <c r="C10" i="2"/>
  <c r="C108" i="1"/>
  <c r="C107" i="1"/>
  <c r="C101" i="1"/>
  <c r="C90" i="1"/>
  <c r="C91" i="1"/>
  <c r="C95" i="1"/>
  <c r="C48" i="1"/>
  <c r="C93" i="1"/>
  <c r="C89" i="1"/>
  <c r="C78" i="1"/>
  <c r="C76" i="1"/>
  <c r="C75" i="1"/>
  <c r="C71" i="1"/>
  <c r="C69" i="1"/>
  <c r="C68" i="1"/>
  <c r="C58" i="1"/>
  <c r="C57" i="1"/>
  <c r="C56" i="1"/>
  <c r="C51" i="1"/>
  <c r="C50" i="1"/>
  <c r="C47" i="1"/>
  <c r="C46" i="1"/>
  <c r="C30" i="1"/>
  <c r="C28" i="1"/>
  <c r="C22" i="1"/>
  <c r="C20" i="1"/>
  <c r="C19" i="1"/>
  <c r="C17" i="1"/>
  <c r="C16" i="1"/>
  <c r="C15" i="1"/>
  <c r="C14" i="1"/>
  <c r="C12" i="1"/>
  <c r="C11" i="1"/>
  <c r="C7" i="1"/>
</calcChain>
</file>

<file path=xl/sharedStrings.xml><?xml version="1.0" encoding="utf-8"?>
<sst xmlns="http://schemas.openxmlformats.org/spreadsheetml/2006/main" count="1085" uniqueCount="667">
  <si>
    <r>
      <t>Solvensbehov &amp; udvalgte risikonøgletal – søjle 3</t>
    </r>
    <r>
      <rPr>
        <sz val="20"/>
        <rFont val="Calibri"/>
        <family val="2"/>
      </rPr>
      <t> </t>
    </r>
  </si>
  <si>
    <r>
      <t>Indledning</t>
    </r>
    <r>
      <rPr>
        <sz val="11"/>
        <rFont val="Calibri"/>
        <family val="2"/>
      </rPr>
      <t> </t>
    </r>
  </si>
  <si>
    <t>Både koncernen Arbejdernes Landsbank og A/S Arbejdernes Landsbank er forpligtet til at offentliggøre solvensbehovet kvartalsvist. Derudover har koncernen Arbejdernes Landsbank valgt at offentliggøre udvalgte risikooplysninger (søjle 3-oplysninger) kvartalsvist. </t>
  </si>
  <si>
    <r>
      <t xml:space="preserve">Offentliggørelse af solvensbehovet for koncernen og A/S Arbejdernes Landsbank sker i medfør af </t>
    </r>
    <r>
      <rPr>
        <i/>
        <sz val="11"/>
        <rFont val="Calibri"/>
        <family val="2"/>
      </rPr>
      <t>Bekendtgørelse om opgørelse af risikoeksponeringer, kapitalgrundlag og solvensbehov</t>
    </r>
    <r>
      <rPr>
        <sz val="11"/>
        <rFont val="Segoe UI"/>
        <family val="2"/>
      </rPr>
      <t xml:space="preserve"> § 4.  </t>
    </r>
  </si>
  <si>
    <r>
      <t xml:space="preserve">Offentliggørelse af udvalgte risikonøgletal for koncernen sker i henhold til </t>
    </r>
    <r>
      <rPr>
        <i/>
        <sz val="11"/>
        <rFont val="Calibri"/>
        <family val="2"/>
      </rPr>
      <t>EU-kommissionens forordning om tilsynsmæssige krav til kreditinstitutter og investeringsselskaber</t>
    </r>
    <r>
      <rPr>
        <sz val="11"/>
        <rFont val="Calibri"/>
        <family val="2"/>
      </rPr>
      <t xml:space="preserve"> artikel 433a (søjle 3 oplysninger).  </t>
    </r>
  </si>
  <si>
    <t>Koncernen Arbejdernes Landsbank omfatter virksomhederne:  </t>
  </si>
  <si>
    <t>- A/S Arbejdernes Landsbank (moderselskab)  </t>
  </si>
  <si>
    <t>- Vestjysk Bank A/S (dattervirksomhed)  </t>
  </si>
  <si>
    <t>- AL Finans A/S (dattervirksomhed)  </t>
  </si>
  <si>
    <t>- Ejendomsselskabet Sluseholmen A/S (dattervirksomhed) </t>
  </si>
  <si>
    <r>
      <t>Indhold</t>
    </r>
    <r>
      <rPr>
        <sz val="16"/>
        <rFont val="Calibri"/>
        <family val="2"/>
      </rPr>
      <t> </t>
    </r>
  </si>
  <si>
    <r>
      <t>Kapitalgrundlag</t>
    </r>
    <r>
      <rPr>
        <sz val="11"/>
        <rFont val="Calibri"/>
        <family val="2"/>
      </rPr>
      <t> </t>
    </r>
  </si>
  <si>
    <t>Tilstrækkeligt kapitalgrundlag og solvensbehov pr. 31. marts 2022  </t>
  </si>
  <si>
    <t>Solvensbehov</t>
  </si>
  <si>
    <t>Sammensætning af lovpligtigt kapitalgrundlag</t>
  </si>
  <si>
    <t>EU CC1</t>
  </si>
  <si>
    <t>Afstemning mellem lovbestemt kapitalgrundlag og balancen i halvårsregnskabet</t>
  </si>
  <si>
    <t>EU CC2</t>
  </si>
  <si>
    <t>Geografisk fordeling af krediteksponeringer med relevans for beregning af den kontracykliske kapitalbuffer</t>
  </si>
  <si>
    <t>EU CCyB1</t>
  </si>
  <si>
    <t>Størrelsen af den institutspecifikke kontracykliske kapitalbuffer</t>
  </si>
  <si>
    <t>EU CCyB2</t>
  </si>
  <si>
    <r>
      <t>Kreditrisiko</t>
    </r>
    <r>
      <rPr>
        <sz val="11"/>
        <rFont val="Calibri"/>
        <family val="2"/>
      </rPr>
      <t> </t>
    </r>
  </si>
  <si>
    <t>Ikkemisligholdte og misligholdte eksponeringer og dertil knyttede bestemmelser</t>
  </si>
  <si>
    <t>EU CR1</t>
  </si>
  <si>
    <t>Løbetid på eksponeringer</t>
  </si>
  <si>
    <t>EU CR1-A</t>
  </si>
  <si>
    <t>Ændringer i beholdningen af misligholdte lån og forskud</t>
  </si>
  <si>
    <t>EU CR2</t>
  </si>
  <si>
    <t>Overblik over kreditrisikoreduktionsteknikker</t>
  </si>
  <si>
    <t>EU CR3</t>
  </si>
  <si>
    <t>Kreditrisikoeksponering og virkninger af kreditrisikoreduktionsteknikker</t>
  </si>
  <si>
    <t>EU CR4</t>
  </si>
  <si>
    <t>Standardmetoden</t>
  </si>
  <si>
    <t>EU CR5</t>
  </si>
  <si>
    <r>
      <t>Modpartsrisiko</t>
    </r>
    <r>
      <rPr>
        <sz val="11"/>
        <rFont val="Calibri"/>
        <family val="2"/>
      </rPr>
      <t> </t>
    </r>
  </si>
  <si>
    <t>Analyse af modpartskreditrisikoeksponeringer efter metode</t>
  </si>
  <si>
    <t>EU CCR1</t>
  </si>
  <si>
    <t>Transaktioner underlagt kapitalgrundlagskrav for kreditværdijusteringsrisiko</t>
  </si>
  <si>
    <t>EU CCR2</t>
  </si>
  <si>
    <t>Modpartskreditrisikoeksponeringer efter eksponeringsklasse og risikovægte</t>
  </si>
  <si>
    <t>EU CCR3</t>
  </si>
  <si>
    <t>Sammensætning af sikkerhedsstillelse for modpartskreditrisikoeksponeringer</t>
  </si>
  <si>
    <t>EU CCR5</t>
  </si>
  <si>
    <t>Modpartskreditrisikoeksponeringer</t>
  </si>
  <si>
    <t>EU CCR8</t>
  </si>
  <si>
    <r>
      <t>Markedsrisiko</t>
    </r>
    <r>
      <rPr>
        <sz val="11"/>
        <rFont val="Calibri"/>
        <family val="2"/>
      </rPr>
      <t> </t>
    </r>
  </si>
  <si>
    <t>Markedsrisiko i henhold til standardmetoden</t>
  </si>
  <si>
    <t>EU MR1</t>
  </si>
  <si>
    <t>Renterisici for aktiviteter, der ikke indgår i handelsbeholdningen</t>
  </si>
  <si>
    <t>EU IRRBB1</t>
  </si>
  <si>
    <r>
      <t>Likviditetsrisiko</t>
    </r>
    <r>
      <rPr>
        <sz val="11"/>
        <rFont val="Calibri"/>
        <family val="2"/>
      </rPr>
      <t> </t>
    </r>
  </si>
  <si>
    <t>Net stable funding ratio</t>
  </si>
  <si>
    <t>EU LIQ2</t>
  </si>
  <si>
    <r>
      <t>Gearing</t>
    </r>
    <r>
      <rPr>
        <sz val="11"/>
        <rFont val="Calibri"/>
        <family val="2"/>
      </rPr>
      <t> </t>
    </r>
  </si>
  <si>
    <t>Afstemning mellem regnskabsmæssige aktiver og gearingsgradrelevante eksponeringer oversigt</t>
  </si>
  <si>
    <t>EU LR1 - LRSum</t>
  </si>
  <si>
    <t>Oplysninger om gearingsgrad — fælles regler</t>
  </si>
  <si>
    <t>EU LR2 - LRCom</t>
  </si>
  <si>
    <t>Offentliggørelse af tilstrækkeligt kapitalgrundlag og solvensbehov pr. 30/6 2022 for Arbejdernes Landsbank, jf. Bekendtgørelse om opgørelse af risikoeksponeringer, kapitalgrundlag og solvensbehov § 4.</t>
  </si>
  <si>
    <t>Koncern</t>
  </si>
  <si>
    <t>Bank</t>
  </si>
  <si>
    <t xml:space="preserve">Mio. kr. </t>
  </si>
  <si>
    <t>pct.</t>
  </si>
  <si>
    <t xml:space="preserve">Kapital til dækning af kreditrisiko </t>
  </si>
  <si>
    <t>Kapital til dækning af markedsrisiko</t>
  </si>
  <si>
    <t>Kapital til dækning af operationel risiko</t>
  </si>
  <si>
    <t>Kapital til dækning af øvrige risici</t>
  </si>
  <si>
    <t>Tilstrækkelig kapitalgrundlag/solvensbehov jf. Lov om finansiel virksomhed §124 stk. 4</t>
  </si>
  <si>
    <t>Tillæg til tilstrækkelig kapitalgrundlag jf. lovbestemte krav</t>
  </si>
  <si>
    <t>Tilstrækkelig kapitalgrundlag/solvenskrav jf. Lov om finansiel virksomhed § 124, stk. 1 og stk. 2 nr. 1</t>
  </si>
  <si>
    <t>Egentlig kernekapital/Egentlig kernekapitalprocent</t>
  </si>
  <si>
    <t>Kernekapital/Kernekapitalprocent</t>
  </si>
  <si>
    <t>Kapitalgrundlag/Kapitalprocent</t>
  </si>
  <si>
    <t>Model</t>
  </si>
  <si>
    <t xml:space="preserve">Arbejdernes Landsbank anvender 8+-metoden til fastsættelse af det individuelle solvensbehov for såvel koncernen som banken. </t>
  </si>
  <si>
    <t xml:space="preserve">Metoden tager udgangspunkt i minimumskapitalkravet på 8 pct. af den samlede risikoeksponering (søjle I-kravet). De normale risici antages at være dækket af 8 pct. kravet. Derudover beregnes supplerende kapitalbehov for risikoområder, som vurderes ikke at være omfattet af 8 pct. kravet. Det samlede kapitalbehov fremkommer ved at addere kapitalbehovet efter 8 pct. og de supplerende kapitalbehov. </t>
  </si>
  <si>
    <t xml:space="preserve">Modellen fremgår af Finanstilsynets "Vejledning om tilstrækkelig kapitalgrundlag og solvensbehov for kreditinstitutter". </t>
  </si>
  <si>
    <t xml:space="preserve">Solvensbehovet beregnes som det samlede kapitalbehov i procent af den samlede risikoeksponering opgjort efter bestemmelserne i CRR-forordningen. </t>
  </si>
  <si>
    <t>Kapital til dækning af kreditrisiko</t>
  </si>
  <si>
    <t>Kapitalkravet til dækning af kreditrisiko opgøres som 8 % af risikoeksponeringer, der relaterer sig til kreditrisiko plus supplerende kapital til dækning af bl.a. følgende risici:
1. Koncentrationsrisiko på de 20 største eksponeringer
2. Store eksponeringer med finansielle problemer
3. Koncentrationsrisiko på brancher
4. Tilgodehavender kreditinstitutter
5. Aktier mv. uden for handelsbeholdningen
6. Øvrige kreditrisici</t>
  </si>
  <si>
    <t xml:space="preserve">Kapital til dækning af markedsrisiko </t>
  </si>
  <si>
    <t xml:space="preserve">Kapitalkravet til dækning af markedsrisiko opgøres som 8 % af risikoeksponeringer, der relaterer sig til markedsrisici plus supplerende kapital til dækning af følgende risici:
1. Markedsrisiko
2. Likviditetsrisici
3. Renterisiko udenfor handelsbeholdningen
</t>
  </si>
  <si>
    <t xml:space="preserve">Kapital til dækning af operationel risiko </t>
  </si>
  <si>
    <t xml:space="preserve">Kapital til dækning af operationel risiko er opgjort efter Basisindikatoren i CRR-forordningen artikel 315. Koncernen foretager egne beregninger af den operationelle risiko, med udgangspunkt i en model, hvor forskellige enheder i banken opstiller en række risiko-scenarier. Herudover vurderes risikoen ved informations- og kommunikationsteknologi særskilt. </t>
  </si>
  <si>
    <t xml:space="preserve">Kapital til dækning af øvrige risici </t>
  </si>
  <si>
    <t>Kapital til dækning af øvrige risici dækker over vurderinger af kapitalkrav til indtjeningsniveau, vækst i udlån, gearing, risiko for prisfald på domicil- og investeringsejendomme og øvrige forhold, herunder lovmæssige krav.</t>
  </si>
  <si>
    <t>Skema EU CC1 - Sammensætning af lovpligtigt kapitalgrundlag</t>
  </si>
  <si>
    <t xml:space="preserve"> (a)</t>
  </si>
  <si>
    <t xml:space="preserve">  (b)</t>
  </si>
  <si>
    <t>Beløb</t>
  </si>
  <si>
    <t>Kilde baseret på referencenumre/- bogstaver i balancen i henhold til den tilsynsmæssige ramme for konsolideringen</t>
  </si>
  <si>
    <t>Egentlig kernekapital: instrumenter og reserver</t>
  </si>
  <si>
    <t>Kapitalinstrumenter og overkurs ved emission i tilknytning hertil</t>
  </si>
  <si>
    <t>A) Aktiekapital</t>
  </si>
  <si>
    <t>heraf: instrumenttype 1</t>
  </si>
  <si>
    <t> </t>
  </si>
  <si>
    <t>heraf: instrumenttype 2</t>
  </si>
  <si>
    <t>heraf: instrumenttype 3</t>
  </si>
  <si>
    <t>Overført resultat</t>
  </si>
  <si>
    <t>B) Overført overskud eller underskud</t>
  </si>
  <si>
    <t>Akkumuleret anden totalindkomst (og andre reserver</t>
  </si>
  <si>
    <t>C) Akkumulerede værdiændringer og lovpligtige reserver</t>
  </si>
  <si>
    <t>EU-3a</t>
  </si>
  <si>
    <t>Midler til dækning af generelle kreditinstitutrisici</t>
  </si>
  <si>
    <t>Beløb for kvalificerede poster omhandlet i artikel 484, stk. 3, i CRR og overkurs ved emission i tilknytning hertil underlagt udfasning fra egentlig kernekapital</t>
  </si>
  <si>
    <t>Minoritetsinteresser (beløb tilladt i den konsoliderede egentlige kernekapital)</t>
  </si>
  <si>
    <t>D) Minoritetsinteresser</t>
  </si>
  <si>
    <t>EU-5a</t>
  </si>
  <si>
    <t>Uafhængigt kontrollerede foreløbige overskud fratrukket forventede udgifter eller udbytter</t>
  </si>
  <si>
    <t>Egentlig kernekapital før lovpligtige justeringer</t>
  </si>
  <si>
    <t>Egentlig kernekapital: lovpligtige justeringer</t>
  </si>
  <si>
    <t>Yderligere værdijusteringer (negativt beløb)</t>
  </si>
  <si>
    <t xml:space="preserve">Immaterielle aktiver (fratrukket tilhørende skatteforpligtelser) (negativt beløb) </t>
  </si>
  <si>
    <t>E) Immatirielle aktiver</t>
  </si>
  <si>
    <t>Ikke relevant</t>
  </si>
  <si>
    <t>Udskudte skatteaktiver, som afhænger af fremtidig rentabilitet, bortset fra aktiver, som skyldes midlertidige forskelle (fratrukket tilknyttede skatteforpligtelser, hvis betingelserne i artikel 38, stk. 3, i CRR er opfyldt) (negativt beløb)</t>
  </si>
  <si>
    <t>F) Udskudte skatteaktiver</t>
  </si>
  <si>
    <t>Dagsværdireserver i relation til gevinst eller tab på sikring af pengestrømme for finansielle instrumenter, som ikke er værdiansat til dagsværdi</t>
  </si>
  <si>
    <t>Negative beløb, der fremkommer ved beregningen af forventede tab</t>
  </si>
  <si>
    <t>Stigning i egenkapitalen, som er genereret af securitiserede aktiver (negativt beløb)</t>
  </si>
  <si>
    <t>Gevinster eller tab på forpligtelser værdiansat til dagsværdi, som skyldes ændringer i institut­ tets egen kreditsituation</t>
  </si>
  <si>
    <t>Aktiver i ydelsesbaserede pensionskasser (negativt beløb)</t>
  </si>
  <si>
    <t>Et instituts direkte, indirekte og syntetiske besiddelser af egne egentlige kernekapitalinstru­ menter (negativt beløb)</t>
  </si>
  <si>
    <t>B) Overført resultat og underskud</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</si>
  <si>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</si>
  <si>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 instrumenter i enheder i den finansielle sektor, når instituttet ikke har væsentlige investe­ ringer i disse enheder (beløb over tærsklen på 10 % og fratrukket anerkendte korte positio­ ner) (negativt beløb)</t>
  </si>
  <si>
    <t>Instituttets relevante direkte, indirekte og syntetiske besiddelser af egentlige kernekapital­ 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</si>
  <si>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</si>
  <si>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</si>
  <si>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</si>
  <si>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heraf: kvalificerede andele uden for den finansielle sektor (negativt beløb)</t>
  </si>
  <si>
    <t>EU-20c</t>
  </si>
  <si>
    <t>heraf: securitiseringspositioner (negativt beløb)</t>
  </si>
  <si>
    <t>EU-20d</t>
  </si>
  <si>
    <t>heraf: leveringsrisiko (free deliveries) (negativt beløb)</t>
  </si>
  <si>
    <t>Udskudte skatteaktiver, som skyldes midlertidige forskelle (beløb over tærsklen på 10 %, fratrukket tilknyttede skatteforpligtelser, hvis betingelserne i artikel 38, stk. 3, i CRR er opfyldt) (negativt beløb)</t>
  </si>
  <si>
    <t>Beløb, der overstiger tærsklen på 17,65 % (negativt beløb)</t>
  </si>
  <si>
    <t>heraf: instituttets direkte, indirekte og syntetiske besiddelser af egentlige kernekapitalinstru­ menter i enheder i den finansielle sektor, når instituttet har væsentlige investeringer i disse enheder</t>
  </si>
  <si>
    <t>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</si>
  <si>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</si>
  <si>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</si>
  <si>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</si>
  <si>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</si>
  <si>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Kvalificerede fradrag i hybrid kernekapital, der overstiger instituttets hybride kernekapital­ poster (negativt beløb)</t>
  </si>
  <si>
    <t>27a</t>
  </si>
  <si>
    <t>Andre lovpligtige justeringer</t>
  </si>
  <si>
    <t>Samlede lovpligtige justeringer af egentlig kernekapital</t>
  </si>
  <si>
    <t>Egentlig kernekapital</t>
  </si>
  <si>
    <t>Hybrid kernekapital: instrumenter</t>
  </si>
  <si>
    <t>G) Hybrid kernekapital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</si>
  <si>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</si>
  <si>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</si>
  <si>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</si>
  <si>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</si>
  <si>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</si>
  <si>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</si>
  <si>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</si>
  <si>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Kvalificerende kernekapital indregnet i den konsoliderede hybride kernekapital (herunder minoritetsinteresser, der ikke er indregnet i række 5), som er udstedt af datterselskaber og indehaves af tredjemand</t>
  </si>
  <si>
    <t xml:space="preserve"> heraf: instrumenter udstedt af datterselskaber og underlagt udfasning</t>
  </si>
  <si>
    <t>Hybrid kernekapital før lovpligtige justeringer</t>
  </si>
  <si>
    <t>Hybrid kernekapital: lovpligtige justeringer</t>
  </si>
  <si>
    <t>Et instituts direkte, indirekte og syntetiske besiddelser af egne hybride kernekapitalinstru­ menter (negativt beløb)</t>
  </si>
  <si>
    <t xml:space="preserve"> 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</si>
  <si>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</si>
  <si>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</si>
  <si>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t>Kvalificerede fradrag i supplerende kapital, der overstiger instituttets supplerende kapital­ poster (negativt beløb)</t>
  </si>
  <si>
    <t xml:space="preserve">42a </t>
  </si>
  <si>
    <t>Andre lovpligtige justeringer af den hybride kernekapital</t>
  </si>
  <si>
    <t>Samlede lovpligtige justeringer af hybrid kernekapital</t>
  </si>
  <si>
    <t>Hybrid kernekapita</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</si>
  <si>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</si>
  <si>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</si>
  <si>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</si>
  <si>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</si>
  <si>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</si>
  <si>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</si>
  <si>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</si>
  <si>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Kvalificerende kapitalgrundlagsinstrumenter indregnet i konsolideret supplerende kapital (herunder minoritetsinteresser, der ikke medtages i række 5 eller 34), som er udstedt af datterselskaber og indehaves af tredjemand.</t>
  </si>
  <si>
    <t>Kreditrisikojusteringer</t>
  </si>
  <si>
    <t>Supplerende kapital før lovpligtige justeringer</t>
  </si>
  <si>
    <t>Supplerende kapital: lovpligtige justeringer</t>
  </si>
  <si>
    <t>Et instituts direkte, indirekte og syntetiske besiddelser af egne supplerende kapitalinstru­ 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</si>
  <si>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</si>
  <si>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Direkte, indirekte og syntetiske besiddelser af supplerende kapitalinstrumenter i enheder i den finansielle sektor, når instituttet ikke har væsentlige investeringer i disse enheder (beløb over tærsklen på 10 % og fratrukket anerkendte korte positioner) (negativt beløb)</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</si>
  <si>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</si>
  <si>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</si>
  <si>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r>
      <t>EU-56a</t>
    </r>
    <r>
      <rPr>
        <sz val="8"/>
        <rFont val="Calibri"/>
        <family val="2"/>
        <scheme val="minor"/>
      </rPr>
      <t> </t>
    </r>
  </si>
  <si>
    <t>Kvalificerede fradrag i nedskrivningsrelevante passiver, som overstiger instituttets nedskriv­ ningsrelevante passiver (negativt beløb)</t>
  </si>
  <si>
    <t>EU-56b</t>
  </si>
  <si>
    <t>Andre lovpligtige justeringer af den supplerende kapital</t>
  </si>
  <si>
    <t>Samlede lovpligtige justeringer af supplerende kapital</t>
  </si>
  <si>
    <t>Supplerende kapital</t>
  </si>
  <si>
    <t>Samlet kapital (samlet kapital = kernekapital + supplerende kapital)</t>
  </si>
  <si>
    <t>Samlet risikoeksponering</t>
  </si>
  <si>
    <t>Kapitalprocenter og -krav, inkl. Buffere</t>
  </si>
  <si>
    <t xml:space="preserve">Egentlig kernekapital som en procent af samlet risikoeksponering </t>
  </si>
  <si>
    <t>Kernekapital</t>
  </si>
  <si>
    <t>Samlet kapital</t>
  </si>
  <si>
    <t>Instituttets sammenlagte kapitalkrav for egentlig kernekapital</t>
  </si>
  <si>
    <t>heraf: krav om kapitalbevaringsbuffer</t>
  </si>
  <si>
    <t>heraf: krav om kontracyklisk kapitalbuffer</t>
  </si>
  <si>
    <t>heraf: krav om systemisk risikobuffer</t>
  </si>
  <si>
    <t>EU-67a</t>
  </si>
  <si>
    <t>heraf: krav om G-SII-buffer eller O-SII-buffer</t>
  </si>
  <si>
    <t>EU-67b</t>
  </si>
  <si>
    <t>heraf: krav om yderligere kapitalgrundlag til at tage højde for andre risici end risikoen for overdreven gearing (%)</t>
  </si>
  <si>
    <t xml:space="preserve">Tilgængelig egentlig kernekapital (som en procentdel af risikoeksponeringen) efter opfyldelse af minimumskapitalkrav
</t>
  </si>
  <si>
    <t>Beløb under tærsklerne for fradrag (før risikovægtning)) </t>
  </si>
  <si>
    <t xml:space="preserve"> Direkte og indirekte besiddelser af kapitalgrundlag og nedskrivningsrelevante passiver i enheder i den finansielle sektor, når instituttet ikke har væsentlige investeringer i disse enheder (beløb under tærsklen på 10 % og fratrukket anerkendte korte positioner</t>
  </si>
  <si>
    <t>Instituttets direkte og indirekte besiddelser af egentlige kernekapitalinstrumenter i enheder i den finansielle sektor, når instituttet har væsentlige investeringer i disse enheder (beløb under tærsklen på 17,65 % og fratrukket anerkendte korte positioner)</t>
  </si>
  <si>
    <t>Udskudte skatteaktiver, som skyldes midlertidige forskelle (beløb under tærsklen på 17,65 %, fratrukket tilknyttede skatteforpligtelser, hvis betingelserne i artikel 38, stk. 3, i CRR er opfyldt)</t>
  </si>
  <si>
    <t>Gældende lofter over indregning af hensættelser i supplerende kapital</t>
  </si>
  <si>
    <t>Kreditrisikojusteringer indregnet i den supplerende kapital i forbindelse med eksponeringer opgjort efter standardmetoden (før anvendelse af loftet)</t>
  </si>
  <si>
    <t>Loft for indregning af kreditrisikojusteringer i den supplerende kapital opgjort efter stan­ dardmetoden</t>
  </si>
  <si>
    <t>Kreditrisikojusteringer indregnet i den supplerende kapital i forbindelse med eksponeringer opgjort efter IRB-metoden (før anvendelse af loftet)</t>
  </si>
  <si>
    <t>Loft for indregning af kreditrisikojusteringer i den supplerende kapital opgjort efter IRB- 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</si>
  <si>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</si>
  <si>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</si>
  <si>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</si>
  <si>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</si>
  <si>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</si>
  <si>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</si>
  <si>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</si>
  <si>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Skema EU CC2 - Afstemning mellem lovbestemt kapitalgrundlag og balancen i halvårsregnskabet</t>
  </si>
  <si>
    <t>Fleksibelt skema. Rækkerne skal offentliggøres i overensstemmelse med balancen i institutternes reviderede regnskaber. Kolonnerne skal være faste, medmindre instituttet har de samme regnskabs- og tilsynsmæssige rammer for konsolidering. I så fald skal kolonne a) og b) kombineres.</t>
  </si>
  <si>
    <t>a</t>
  </si>
  <si>
    <t>b</t>
  </si>
  <si>
    <t>c</t>
  </si>
  <si>
    <t>Balance som i de offentliggjorte regnskaber</t>
  </si>
  <si>
    <t>Under tilsynsmæssig ramme for konsoliderin</t>
  </si>
  <si>
    <t>Reference</t>
  </si>
  <si>
    <t>Ved periodens udgang</t>
  </si>
  <si>
    <r>
      <t xml:space="preserve">Aktiver </t>
    </r>
    <r>
      <rPr>
        <sz val="11"/>
        <color rgb="FF000000"/>
        <rFont val="Calibri"/>
        <family val="2"/>
        <scheme val="minor"/>
      </rPr>
      <t>— Opdeling efter aktivklasser i overensstemmelse med balancen i de offentliggjorte regnskaber</t>
    </r>
  </si>
  <si>
    <t>Kassebeholdning og anfordringstilgodehavender hos centralbanker</t>
  </si>
  <si>
    <t>Tilgodehavender hos kreditinstitutter og centralbanken</t>
  </si>
  <si>
    <t>Udlån og andre tilgodehavender til amortiseret kostpris</t>
  </si>
  <si>
    <t>Obligationer til dagspris</t>
  </si>
  <si>
    <t>Aktier</t>
  </si>
  <si>
    <t>Kapitalandele i associerede virksomheder</t>
  </si>
  <si>
    <t>Aktiver tilknyttet puljeordninger</t>
  </si>
  <si>
    <t>Immaterielle aktiver</t>
  </si>
  <si>
    <t>E</t>
  </si>
  <si>
    <t>Grunde og bygninger</t>
  </si>
  <si>
    <t>Øvrige materielle aktiver</t>
  </si>
  <si>
    <t>Aktuelle Skatteaktiver</t>
  </si>
  <si>
    <t>Udskudte skatteaktiver</t>
  </si>
  <si>
    <t>F</t>
  </si>
  <si>
    <t>Aktiver i midlertidig besiddelse</t>
  </si>
  <si>
    <t>Andre aktiver</t>
  </si>
  <si>
    <t>Periodeafgrænsningsposter</t>
  </si>
  <si>
    <r>
      <t xml:space="preserve">Passiver </t>
    </r>
    <r>
      <rPr>
        <sz val="11"/>
        <color rgb="FF000000"/>
        <rFont val="Calibri"/>
        <family val="2"/>
        <scheme val="minor"/>
      </rPr>
      <t>— Opdeling efter passivklasser i overensstemmelse med balancen i de offentliggjorte regnskaber</t>
    </r>
  </si>
  <si>
    <t>Gæld til kreditinstitter og centralbanker</t>
  </si>
  <si>
    <t>Indlån og anden gæld</t>
  </si>
  <si>
    <t>Indlån i puljeordninger</t>
  </si>
  <si>
    <t>Udstedte obligationer til amortiseret kostpris</t>
  </si>
  <si>
    <t>Aktuelle skatteforpligtelser</t>
  </si>
  <si>
    <t>Andre passiver</t>
  </si>
  <si>
    <t>Hensatte forpligtelser</t>
  </si>
  <si>
    <t>Efterstillet kapitalindskud</t>
  </si>
  <si>
    <t>Aktiekapital</t>
  </si>
  <si>
    <t>Aktionærerenes kapital</t>
  </si>
  <si>
    <t xml:space="preserve">   Heraf aktiekapital</t>
  </si>
  <si>
    <t>A</t>
  </si>
  <si>
    <t xml:space="preserve">   Heraf akkumulerede værdiændringer og vedtægtsmæssige reserver</t>
  </si>
  <si>
    <t>C</t>
  </si>
  <si>
    <t xml:space="preserve">   Heraf overførst overskud og underskud</t>
  </si>
  <si>
    <t>B</t>
  </si>
  <si>
    <t>Øvrige reserver</t>
  </si>
  <si>
    <t>G</t>
  </si>
  <si>
    <t>Minoritetsinteresser</t>
  </si>
  <si>
    <t>D</t>
  </si>
  <si>
    <t>Egenkapital i alt</t>
  </si>
  <si>
    <t>Passiver i alt</t>
  </si>
  <si>
    <t>Skema EU CCyB1 - Geografisk fordeling af krediteksponeringer, der er relevante for beregningen af den kontracykliske kapitalbuffer</t>
  </si>
  <si>
    <t>d</t>
  </si>
  <si>
    <t>e</t>
  </si>
  <si>
    <t>f</t>
  </si>
  <si>
    <t>g</t>
  </si>
  <si>
    <t>h</t>
  </si>
  <si>
    <t>i</t>
  </si>
  <si>
    <t>j</t>
  </si>
  <si>
    <t>k</t>
  </si>
  <si>
    <t>l</t>
  </si>
  <si>
    <t>m</t>
  </si>
  <si>
    <t>Generelle krediteksponeringer</t>
  </si>
  <si>
    <t>Relevante krediteksponeringer — Markedsrisiko</t>
  </si>
  <si>
    <t>Securitiseringseksponeringer — Værdi af eksponeringer uden for handelsbeholdningen</t>
  </si>
  <si>
    <t>Eksponeringsværdi i alt</t>
  </si>
  <si>
    <t>Kapitalgrundlagskrav</t>
  </si>
  <si>
    <t>Risikovægtede eksponeringer</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</si>
  <si>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</si>
  <si>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</si>
  <si>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</si>
  <si>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</si>
  <si>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</si>
  <si>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</si>
  <si>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Kreditrisiko</t>
  </si>
  <si>
    <t>Relevante krediteksponeringer  Markedsrisiko</t>
  </si>
  <si>
    <t>Relevante krediteksponeringer — Securitiseringspositioner uden for handelsbeholdningen</t>
  </si>
  <si>
    <t>I alt</t>
  </si>
  <si>
    <t>010</t>
  </si>
  <si>
    <t>Opdeling efter land:</t>
  </si>
  <si>
    <t>Danmark</t>
  </si>
  <si>
    <t>Tyskland</t>
  </si>
  <si>
    <t>020</t>
  </si>
  <si>
    <t>Total</t>
  </si>
  <si>
    <t>Skema EU CCyB2 - Størrelsen af den institutspecifikke kontracykliske kapitalbuffer</t>
  </si>
  <si>
    <t>Samlet risiko-eksponering</t>
  </si>
  <si>
    <t>Institutspecifik kontracyklisk kapitalbuffersats</t>
  </si>
  <si>
    <t>Krav til den institutspecifikke kontracykliske kapitalbuffert</t>
  </si>
  <si>
    <t>Skema EU CR1: Ikkemisligholdte og misligholdte eksponeringer og dertil knyttede bestemmelser.</t>
  </si>
  <si>
    <t>n</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</si>
  <si>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</si>
  <si>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</si>
  <si>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</si>
  <si>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</si>
  <si>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</si>
  <si>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</si>
  <si>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Misligholdte eksponeringer</t>
  </si>
  <si>
    <t>Ikkemisligholdte eksponeringer – akkumulerede værdiforringelser og hensættelser</t>
  </si>
  <si>
    <t>Misligholdte eksponeringer – akkumulerede værdiforringelser, akkumulerede negative ændringer i dagsværdi på grund af kreditrisiko og hensættelser</t>
  </si>
  <si>
    <t>På ikkemisligholdte eksponeringer</t>
  </si>
  <si>
    <t>På misligholdte eksponeringer</t>
  </si>
  <si>
    <t>Heraf fase 1</t>
  </si>
  <si>
    <t>Heraf fase 2</t>
  </si>
  <si>
    <t>Heraf fase 3</t>
  </si>
  <si>
    <t>005</t>
  </si>
  <si>
    <t>Kassebeholdninger i centralbanker og andre anfordringsindskud</t>
  </si>
  <si>
    <t>Lån og forskud</t>
  </si>
  <si>
    <t>Centralbanker</t>
  </si>
  <si>
    <t>030</t>
  </si>
  <si>
    <t>Centralregeringer</t>
  </si>
  <si>
    <t>040</t>
  </si>
  <si>
    <t>Kreditinstitutter</t>
  </si>
  <si>
    <t>050</t>
  </si>
  <si>
    <t>Andre finansielle selskaber</t>
  </si>
  <si>
    <t>060</t>
  </si>
  <si>
    <t>Ikkefinansielle selskaber</t>
  </si>
  <si>
    <t>070</t>
  </si>
  <si>
    <t xml:space="preserve">          Heraf SMV'er</t>
  </si>
  <si>
    <t>080</t>
  </si>
  <si>
    <t xml:space="preserve">	Husstande</t>
  </si>
  <si>
    <t>090</t>
  </si>
  <si>
    <t>Gældsværdipapirer</t>
  </si>
  <si>
    <t>100</t>
  </si>
  <si>
    <t>110</t>
  </si>
  <si>
    <t>120</t>
  </si>
  <si>
    <t>130</t>
  </si>
  <si>
    <t>140</t>
  </si>
  <si>
    <t>150</t>
  </si>
  <si>
    <t>Ikkebalanceførte eksponeringer</t>
  </si>
  <si>
    <t>160</t>
  </si>
  <si>
    <t>170</t>
  </si>
  <si>
    <t>180</t>
  </si>
  <si>
    <t>190</t>
  </si>
  <si>
    <t>200</t>
  </si>
  <si>
    <t>210</t>
  </si>
  <si>
    <t>220</t>
  </si>
  <si>
    <t>Skema EU CR1-A: Løbetid på eksponeringer</t>
  </si>
  <si>
    <t>Nettoeksponeringsværdi</t>
  </si>
  <si>
    <t>På anfordring</t>
  </si>
  <si>
    <t>&lt;= 1 år</t>
  </si>
  <si>
    <t>&gt; 1 år &lt;= 5 år</t>
  </si>
  <si>
    <t>&gt; 5 år</t>
  </si>
  <si>
    <t>Ingen fastsat løbetid</t>
  </si>
  <si>
    <t xml:space="preserve">	Gældsværdipapirer</t>
  </si>
  <si>
    <t>0,0</t>
  </si>
  <si>
    <t>Skema EU CR2: Ændringer i beholdningen af misligholdte lån og forskud</t>
  </si>
  <si>
    <t xml:space="preserve">Regnskabsmæssig bruttoværdi           </t>
  </si>
  <si>
    <t>Oprindelig beholdning af misligholdte lån og forskud</t>
  </si>
  <si>
    <t xml:space="preserve">	Indgående pengestrømme til misligholdte porteføljer</t>
  </si>
  <si>
    <t xml:space="preserve">	Udgående pengestrømme fra misligholdte porteføljer</t>
  </si>
  <si>
    <t xml:space="preserve">	Udgående pengestrømme som følge af afskrivninger</t>
  </si>
  <si>
    <t>Udgående pengestrøm, andre situationer</t>
  </si>
  <si>
    <t>Slutbeholdning af misligholdte lån og forskud</t>
  </si>
  <si>
    <t>Skema EU CR3 - Overblik over kreditrisikoreduktionsteknikker Offentliggørelse af anvendelsen af kreditrisikoreduktionsteknikker</t>
  </si>
  <si>
    <t xml:space="preserve">
Usikret regnskabsmæssig værdi</t>
  </si>
  <si>
    <t>Sikret regnskabsmæssig værdi</t>
  </si>
  <si>
    <r>
      <rPr>
        <sz val="11"/>
        <color rgb="FF000000"/>
        <rFont val="Calibri"/>
        <family val="2"/>
      </rPr>
      <t xml:space="preserve">Heraf sikret </t>
    </r>
    <r>
      <rPr>
        <b/>
        <sz val="11"/>
        <color rgb="FF000000"/>
        <rFont val="Calibri"/>
        <family val="2"/>
      </rPr>
      <t>ved sikkerhedsstillelse:</t>
    </r>
  </si>
  <si>
    <r>
      <t xml:space="preserve">Heraf sikret ved </t>
    </r>
    <r>
      <rPr>
        <b/>
        <sz val="11"/>
        <color rgb="FF000000"/>
        <rFont val="Calibri"/>
        <family val="2"/>
      </rPr>
      <t>finansielle garantier</t>
    </r>
  </si>
  <si>
    <r>
      <t>Heraf sikret ved</t>
    </r>
    <r>
      <rPr>
        <sz val="11"/>
        <color theme="1"/>
        <rFont val="Calibri"/>
        <family val="2"/>
      </rPr>
      <t xml:space="preserve"> </t>
    </r>
    <r>
      <rPr>
        <b/>
        <sz val="11"/>
        <color theme="1"/>
        <rFont val="Calibri"/>
        <family val="2"/>
      </rPr>
      <t>kreditderivater</t>
    </r>
  </si>
  <si>
    <t xml:space="preserve">     Heraf misligholdte eksponeringer</t>
  </si>
  <si>
    <t>EU-5</t>
  </si>
  <si>
    <t xml:space="preserve">            Heraf misligholdt</t>
  </si>
  <si>
    <t>Skema EU CR4 — Standardmetode — Kreditrisikoeksponering og virkninger af kreditrisikoreduktionsteknikker</t>
  </si>
  <si>
    <t>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</si>
  <si>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</si>
  <si>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</si>
  <si>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</si>
  <si>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Balanceførte eksponeringer</t>
  </si>
  <si>
    <t>Risikovægtede aktiver</t>
  </si>
  <si>
    <t>Tæthed af risikovægtede aktiver (%)</t>
  </si>
  <si>
    <t>Centralregeringer eller centralbanker</t>
  </si>
  <si>
    <t>Regionale eller lokale myndigheder</t>
  </si>
  <si>
    <t>Offentlige enheder</t>
  </si>
  <si>
    <t>Multilaterale udviklingsbanker</t>
  </si>
  <si>
    <t>Internationale oganisationer</t>
  </si>
  <si>
    <t>Institutter</t>
  </si>
  <si>
    <t>Selskaber</t>
  </si>
  <si>
    <t>Detail</t>
  </si>
  <si>
    <t>Sikret ved pant i fast ejendom</t>
  </si>
  <si>
    <t>Eksponeringer forbundet med særlig høj risiko</t>
  </si>
  <si>
    <t>Særligt dækkede obligationer og særligt dækkede realkreditobligationer</t>
  </si>
  <si>
    <t>Institutter og selskaber med kortsigtet kreditvurdering</t>
  </si>
  <si>
    <t>CIU'er</t>
  </si>
  <si>
    <t>Andre poster</t>
  </si>
  <si>
    <t>I ALT</t>
  </si>
  <si>
    <t>Skema CR5 — Standardmetode</t>
  </si>
  <si>
    <t xml:space="preserve"> Exposure classes - Mio. kr. </t>
  </si>
  <si>
    <t>Risikovægt</t>
  </si>
  <si>
    <t>Heraf ikke-ratede</t>
  </si>
  <si>
    <t>Andre</t>
  </si>
  <si>
    <t>p</t>
  </si>
  <si>
    <t>q</t>
  </si>
  <si>
    <t>Skema EU CCR1 - Analyse af modpartskreditrisikoeksponeringer efter metode</t>
  </si>
  <si>
    <t>Fast format</t>
  </si>
  <si>
    <t>Genanskaffelsesomkostninger</t>
  </si>
  <si>
    <t>Potentiel fremtidig eksponering</t>
  </si>
  <si>
    <t>Faktisk forventet positiv eksponering</t>
  </si>
  <si>
    <t>Alfa anvendt til beregning af en regulerings- mæssig eksponeringsværdi</t>
  </si>
  <si>
    <t>Eksponeringsværdi inden anvendelse af kreditrisikoreduktionsteknikker</t>
  </si>
  <si>
    <t>Eksponerings- værdi efter anvendelse af kreditrisikoreduktionsteknikker</t>
  </si>
  <si>
    <t>Eksponerings- værdi</t>
  </si>
  <si>
    <r>
      <t>EU</t>
    </r>
    <r>
      <rPr>
        <sz val="10"/>
        <color rgb="FFFF0000"/>
        <rFont val="Arial"/>
        <family val="2"/>
      </rPr>
      <t>-</t>
    </r>
    <r>
      <rPr>
        <sz val="10"/>
        <rFont val="Arial"/>
        <family val="2"/>
      </rPr>
      <t>1</t>
    </r>
  </si>
  <si>
    <t>EU — Den oprindelige eksponeringsmetode (for derivater)</t>
  </si>
  <si>
    <t>1.4</t>
  </si>
  <si>
    <r>
      <t>EU</t>
    </r>
    <r>
      <rPr>
        <sz val="10"/>
        <color rgb="FFFF0000"/>
        <rFont val="Arial"/>
        <family val="2"/>
      </rPr>
      <t>-</t>
    </r>
    <r>
      <rPr>
        <sz val="10"/>
        <rFont val="Arial"/>
        <family val="2"/>
      </rPr>
      <t>2</t>
    </r>
  </si>
  <si>
    <t>EU — forenklet standardmetode for modpartskreditrisiko (for derivater)</t>
  </si>
  <si>
    <t>Standardmetode for modpartskreditrisiko (for derivater)</t>
  </si>
  <si>
    <t xml:space="preserve">Metoden med interne modeller (for derivater og værdipapirfinansieringstransaktioner)
</t>
  </si>
  <si>
    <t>2a</t>
  </si>
  <si>
    <t>Heraf nettinggrupper for værdipapirfinansieringstransaktione</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</si>
  <si>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</si>
  <si>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</si>
  <si>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</si>
  <si>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</si>
  <si>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</si>
  <si>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</si>
  <si>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</si>
  <si>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Skema EU CCR2 – Transaktioner underlagt kapitalgrundlagskrav for kreditværdijusteringsrisiko</t>
  </si>
  <si>
    <t>Eksponeringsværdi</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</si>
  <si>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</si>
  <si>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</si>
  <si>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</si>
  <si>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</si>
  <si>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EU-4</t>
  </si>
  <si>
    <t>Transaktioner underlagt den alternative metode (baseret på den oprindelige eksponeringsmetode)</t>
  </si>
  <si>
    <t xml:space="preserve">Samlet antal transaktioner underlagt kapitalgrundlagskrav for kreditværdijusteringsrisiko
</t>
  </si>
  <si>
    <t>Skema EU CCR3 — standardmetoden — modpartskreditrisikoeksponeringer efter eksponeringsklasse og risikovægte</t>
  </si>
  <si>
    <t xml:space="preserve">
Eksponeringsklasser - Mio. kr. 
</t>
  </si>
  <si>
    <t xml:space="preserve">	
Eksponeringsværdi i alt</t>
  </si>
  <si>
    <t xml:space="preserve">	Eksponeringsværdi i alt</t>
  </si>
  <si>
    <t>Skema EU CCR5 — Sammensætning af sikkerhedsstillelse for modpartskreditrisikoeksponeringer</t>
  </si>
  <si>
    <t>Faste kolonner</t>
  </si>
  <si>
    <t>Sikkerhedsstillelse anvendt i derivattransaktioner</t>
  </si>
  <si>
    <t>Sikkerhedsstillelse anvendt i værdipapirfinansieringstransaktioner</t>
  </si>
  <si>
    <t>Collateral type</t>
  </si>
  <si>
    <t>Dagsværdi af modtagne sikkerheder</t>
  </si>
  <si>
    <t>Dagsværdi af stillede sikkerheder</t>
  </si>
  <si>
    <t>Adskilt</t>
  </si>
  <si>
    <t>Ikke-adskilt</t>
  </si>
  <si>
    <t>Kontanter — national valuta</t>
  </si>
  <si>
    <t>Kontanter – andre valutaer</t>
  </si>
  <si>
    <t xml:space="preserve">	Indenlandsk statsgæld</t>
  </si>
  <si>
    <t xml:space="preserve"> </t>
  </si>
  <si>
    <t>Anden statsgæld</t>
  </si>
  <si>
    <t>Gæld fra statslige myndigheder</t>
  </si>
  <si>
    <t xml:space="preserve">  </t>
  </si>
  <si>
    <t>Virksomhedsobligationer</t>
  </si>
  <si>
    <t>Aktieinstrumenter</t>
  </si>
  <si>
    <t>Anden sikkerhedsstillelse</t>
  </si>
  <si>
    <t>Skema EU CCR8 Modpartskreditrisikoeksponeringer</t>
  </si>
  <si>
    <t>Eksponeringer mod QCCP'er (i alt)</t>
  </si>
  <si>
    <t>Eksponeringer for handel hos QCCP'er (undtagen initialmargen og bidrag til misligholdelsesfond) heraf</t>
  </si>
  <si>
    <t xml:space="preserve">   (i)  OTC-derivater</t>
  </si>
  <si>
    <t xml:space="preserve">   (ii)  børshandlede derivater</t>
  </si>
  <si>
    <t xml:space="preserve">   (iii) SFTer</t>
  </si>
  <si>
    <t xml:space="preserve">   (iv)  nettinggrupper, hvor netting på tværs af produkter er blevet godkendt</t>
  </si>
  <si>
    <t xml:space="preserve">	Adskilt initialmargen</t>
  </si>
  <si>
    <t>Ikke-adskilt initialmargen</t>
  </si>
  <si>
    <t>Indbetalte bidrag til misligholdelsesfonde</t>
  </si>
  <si>
    <t>Ikke-indbetalte bidrag til misligholdelsesfonde</t>
  </si>
  <si>
    <t>Eksponeringer mod ikke-QCCP'er (i alt)</t>
  </si>
  <si>
    <t xml:space="preserve">	Eksponeringer for handel hos ikke-QCCP'er (undtagen initialmargen og bidrag til misligholdelsesfond) heraf</t>
  </si>
  <si>
    <t>Skema EU MR1 - Markedsrisiko i henhold til standardmetoden</t>
  </si>
  <si>
    <t>Risikovægtede eksponeringer (RWEA)</t>
  </si>
  <si>
    <t>Direkte produkter</t>
  </si>
  <si>
    <t>Renterisiko (generel og specifik)</t>
  </si>
  <si>
    <t>Aktierisiko (generel og specifik)</t>
  </si>
  <si>
    <t>Valutarisiko</t>
  </si>
  <si>
    <t>Råvarerisiko</t>
  </si>
  <si>
    <t>Optioner</t>
  </si>
  <si>
    <t>Forenklet metode</t>
  </si>
  <si>
    <t>Delta plus-metode</t>
  </si>
  <si>
    <t>Scenario-metode</t>
  </si>
  <si>
    <t>Securitisering (specifik risiko)</t>
  </si>
  <si>
    <t>Skema EU IRRBB1 — Renterisici for aktiviteter, der ikke indgår i handelsbeholdningen</t>
  </si>
  <si>
    <t>Stødscenarier i forbindelse med tils (mio. kr.)</t>
  </si>
  <si>
    <t>Ændringer i den økonomiske værdi af kapitalgrundlaget</t>
  </si>
  <si>
    <t>Ændringer i nettorenteindtægterne</t>
  </si>
  <si>
    <t>Indeværende periode</t>
  </si>
  <si>
    <t>Foregående periode</t>
  </si>
  <si>
    <t>Parallelt opad</t>
  </si>
  <si>
    <t>Parallelt nedad</t>
  </si>
  <si>
    <t xml:space="preserve">Steepener </t>
  </si>
  <si>
    <t>Flattener</t>
  </si>
  <si>
    <t>Korte renter opad</t>
  </si>
  <si>
    <t xml:space="preserve">	Korte renter nedad</t>
  </si>
  <si>
    <t>Skema EU LIQ2: Net stable funding ratio</t>
  </si>
  <si>
    <t>I overensstemmelse med artikel 451a, stk. 3, i CRR</t>
  </si>
  <si>
    <t>Uvægtet værdi efter restløbetid</t>
  </si>
  <si>
    <t>Vægtet værdi</t>
  </si>
  <si>
    <t>Ingen løbetid</t>
  </si>
  <si>
    <t>&lt; 6 måneder</t>
  </si>
  <si>
    <t>6 måneder til &lt; 1 år</t>
  </si>
  <si>
    <t>≥ 1 år</t>
  </si>
  <si>
    <t>Poster vedrørende tilgængelig stabil finansiering (ASF)</t>
  </si>
  <si>
    <t>Kapitalposter og -instrumenter</t>
  </si>
  <si>
    <t xml:space="preserve"> -   </t>
  </si>
  <si>
    <t>Kapitalgrundlag</t>
  </si>
  <si>
    <t>Andre kapitalinstrumenter</t>
  </si>
  <si>
    <t>Detailindskud</t>
  </si>
  <si>
    <t>Stabile indskud</t>
  </si>
  <si>
    <t>Mindre stabile indskud</t>
  </si>
  <si>
    <t>Engrosfinansiering:</t>
  </si>
  <si>
    <t xml:space="preserve">	Transaktionsrelaterede indskud</t>
  </si>
  <si>
    <t xml:space="preserve">	Anden engrosfinansiering</t>
  </si>
  <si>
    <t xml:space="preserve">	Indbyrdes afhængige passiver</t>
  </si>
  <si>
    <t>Andre passiver:</t>
  </si>
  <si>
    <t>NSFR-derivatforpligtelser</t>
  </si>
  <si>
    <t xml:space="preserve">	Alle øvrige passiver og kapitalinstrumenter, der ikke indgår i ovenstående kategorier</t>
  </si>
  <si>
    <t>Tilgængelig stabil finansiering (ASF) i alt</t>
  </si>
  <si>
    <t>Poster vedrørende krævet stabil finansiering (RSF)</t>
  </si>
  <si>
    <t>Likvide aktiver af høj kvalitet (HQLA) i alt</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</si>
  <si>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</si>
  <si>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</si>
  <si>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</si>
  <si>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</si>
  <si>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</si>
  <si>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t>Værdipapirfinansieringstransaktioner med finansielle kunder, der ikke er misligholdt, og som er sikret ved andre aktiver og lån og forskud til finansieringsinstitutter</t>
  </si>
  <si>
    <t>Lån, der ikke er misligholdt, til ikkefinansielle erhvervskunder, til detailkunder og små erhvervskunder og til stater og offentlige enheder, heraf:</t>
  </si>
  <si>
    <t>Med en risikovægt på mindre end eller lig med 35 % i henhold til Basel II-standardmetoden for kreditrisiko</t>
  </si>
  <si>
    <t>Ikke-misligholdte realkreditlån i beboelsesejendomme, heraf:</t>
  </si>
  <si>
    <t>Andre lån og værdipapirer, der ikke er misligholdt, og som ikke kan betragtes som likvide aktiver af høj kvalitet, herunder børsnoterede aktier og balanceførte handelsfinansieringsprodukter</t>
  </si>
  <si>
    <t xml:space="preserve">	Indbyrdes afhængige aktiver</t>
  </si>
  <si>
    <t>Andre aktiver:</t>
  </si>
  <si>
    <t>Fysisk handlede råvarer</t>
  </si>
  <si>
    <t>Aktiver stillet som initialmargen for derivatkontrakter og bidrag til CCP'ers misligholdelsesfonde</t>
  </si>
  <si>
    <r>
      <t>NSFR-derivataktiver</t>
    </r>
    <r>
      <rPr>
        <sz val="11"/>
        <color theme="1"/>
        <rFont val="Calibri Light"/>
        <family val="2"/>
        <scheme val="major"/>
      </rPr>
      <t> </t>
    </r>
  </si>
  <si>
    <t>NSFR-derivatforpligtelser før fradrag af stillet variationsmargen</t>
  </si>
  <si>
    <t>Alle øvrige aktiver, der ikke indgår i ovenstående kategorier</t>
  </si>
  <si>
    <t>Ikke-balanceførte poster</t>
  </si>
  <si>
    <t>Krævet stabil finansiering i alt</t>
  </si>
  <si>
    <t>Net stable funding ratio (%)</t>
  </si>
  <si>
    <t>Skema EU LR1 - LRSum: Afstemning mellem regnskabsmæssige aktiver og gearingsgradrelevante eksponeringer — oversigt</t>
  </si>
  <si>
    <t>Relevant beløb</t>
  </si>
  <si>
    <t xml:space="preserve">	Samlede aktiver, jf. de offentliggjorte regnskaber</t>
  </si>
  <si>
    <t>Justering for enheder, der er konsolideret med henblik på regnskabsførelse, men som ikke er omfattet af den tilsynsmæssige konsolidering</t>
  </si>
  <si>
    <t xml:space="preserve">	(Justeringer for securitiserede eksponeringer, der opfylder de operationelle krav for anerkendelse af væsentlig risikooverførsel)</t>
  </si>
  <si>
    <t>(Justering for midlertidig fritagelse af eksponeringer mod centralbanker (hvis det er relevant))</t>
  </si>
  <si>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</si>
  <si>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</si>
  <si>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</si>
  <si>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t>Justering for afledte finansielle instrumenter</t>
  </si>
  <si>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</si>
  <si>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</si>
  <si>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</si>
  <si>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</si>
  <si>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</si>
  <si>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</si>
  <si>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</si>
  <si>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</si>
  <si>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t>Samlet eksponeringsmål</t>
  </si>
  <si>
    <t>Skema EU LR2 - LRCom: Oplysninger om gearingsgrad — fælles regler</t>
  </si>
  <si>
    <t>Gearingsgradrelevante eksponeringer</t>
  </si>
  <si>
    <t>Q2 2022</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</si>
  <si>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</si>
  <si>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</si>
  <si>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</si>
  <si>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 xml:space="preserve">	(Fradrag af aktiver i form af fordringer for likvid variationsmargen stillet i forbindelse med derivattransaktioner)</t>
  </si>
  <si>
    <t xml:space="preserve">	(Justering for værdipapirer modtaget i værdipapirfinansieringstransaktioner, og som indregnes som aktiver)</t>
  </si>
  <si>
    <t>(Generelle kreditrisikojusteringer i forbindelse med balanceførte poster)</t>
  </si>
  <si>
    <t>(Værdien af aktiver fratrukket ved opgørelsen af kernekapital)</t>
  </si>
  <si>
    <t>Samlede balanceførte eksponeringer (ekskl. derivater og SFT'er)</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</si>
  <si>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</si>
  <si>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</si>
  <si>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</si>
  <si>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</si>
  <si>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Tillægsbeløb for potentiel fremtidig eksponering knyttet til derivattransaktioner opgjort efter standardmetoden for modpartskreditrisiko</t>
  </si>
  <si>
    <t>EU-9a</t>
  </si>
  <si>
    <t>Undtagelse for derivater: andel af potentiel fremtidig eksponering i henhold til den forenklede standardmetode</t>
  </si>
  <si>
    <t>EU-9b</t>
  </si>
  <si>
    <t>Eksponering bestemt efter den oprindelige eksponeringsmetode</t>
  </si>
  <si>
    <t>(Ikke medregnet CCP-element af kundeclearede handelseksponeringer) (standardmetode for modpartskreditrisiko)</t>
  </si>
  <si>
    <t>EU-10a</t>
  </si>
  <si>
    <t>(Ikke medregnet CCP-element af kundeclearede handelseksponeringer) (forenklet standardmetode)</t>
  </si>
  <si>
    <t>EU-10b</t>
  </si>
  <si>
    <t>(-) Ikke medregnet CCP-element af kundeclearede handelseksponeringer (oprindelig eksponeringsmetode)</t>
  </si>
  <si>
    <t>Justeret faktisk nominel værdi af solgte kreditderivater</t>
  </si>
  <si>
    <t>(Justerede faktiske nominelle værdijusteringer og fradrag af tillæg for solgte kreditderivater)</t>
  </si>
  <si>
    <t xml:space="preserve">	Derivateksponeringer i alt</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</si>
  <si>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</si>
  <si>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</si>
  <si>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</si>
  <si>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</si>
  <si>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</si>
  <si>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</si>
  <si>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</si>
  <si>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</si>
  <si>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</si>
  <si>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</si>
  <si>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Andre ikke-balanceførte eksponeringer</t>
  </si>
  <si>
    <t>Ikke-balanceførte eksponeringer til den notionelle bruttoværdi</t>
  </si>
  <si>
    <t xml:space="preserve">	(Justeringer for konvertering til kreditækvivalente beløb)</t>
  </si>
  <si>
    <t>(Generelle hensættelser fratrukket ved opgørelsen af kernekapital og specifikke hensættelser i forbindelse med ikkebalanceførte eksponeringer)</t>
  </si>
  <si>
    <t xml:space="preserve">	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</si>
  <si>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</si>
  <si>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</si>
  <si>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</si>
  <si>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</si>
  <si>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</si>
  <si>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</si>
  <si>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</si>
  <si>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</si>
  <si>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</si>
  <si>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</si>
  <si>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t>(Udelukkede eksponeringer fra pass through-støttelån gennem ikkeoffentlige udviklingskreditinstitutter (eller (enheder))</t>
  </si>
  <si>
    <t>EU-22f</t>
  </si>
  <si>
    <t>(Udelukkede garanterede dele af eksponeringer, der følger af eksportkreditter)</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</si>
  <si>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</si>
  <si>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</si>
  <si>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</si>
  <si>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</si>
  <si>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</si>
  <si>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</si>
  <si>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</si>
  <si>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</si>
  <si>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</si>
  <si>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</si>
  <si>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</si>
  <si>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t>Gearingsgrad</t>
  </si>
  <si>
    <t>Gearingsgrad (%)</t>
  </si>
  <si>
    <t>EU-25</t>
  </si>
  <si>
    <t>Gearingsgrad (ekskl. virkningen af undtagelsen af offentlige investeringer og støttelån) (%)</t>
  </si>
  <si>
    <t>25a</t>
  </si>
  <si>
    <t>Gearingsgrad (ekskl. virkningen af midlertidige undtagelser af centralbankreserver) (%)</t>
  </si>
  <si>
    <t xml:space="preserve">	Lovpligtig minimumsgearingsgradkrav (%)</t>
  </si>
  <si>
    <t>EU-26a</t>
  </si>
  <si>
    <t>Krav om yderligere kapitalgrundlag til at tage højde for risikoen for overdreven gearing (%)</t>
  </si>
  <si>
    <t>EU-26b</t>
  </si>
  <si>
    <t xml:space="preserve">     heraf: i form af egentlig kernekapital</t>
  </si>
  <si>
    <t xml:space="preserve">	Krav vedrørende gearingsgradbuffer (%)</t>
  </si>
  <si>
    <t>EU-27a</t>
  </si>
  <si>
    <t>Sammenlagt gearingsgradkrav (%)</t>
  </si>
  <si>
    <t>Valg af overgangsordninger og relevante eksponeringer</t>
  </si>
  <si>
    <r>
      <t>EU-27</t>
    </r>
    <r>
      <rPr>
        <sz val="11"/>
        <color theme="1"/>
        <rFont val="Calibri"/>
        <family val="2"/>
        <scheme val="minor"/>
      </rPr>
      <t>b</t>
    </r>
  </si>
  <si>
    <t>Valg af overgangsordninger for definitionen af kapitalmålet</t>
  </si>
  <si>
    <t>Offentliggørelse af gennemsnitsværdier</t>
  </si>
  <si>
    <t>Gennemsnit af daglige værdier af bruttoaktiver, der er indgået i SFT'er, efter justering for regnskabsmæssige transaktioner vedrørende salg og modregning af relaterede likvide forpligtelser og likvide tilgodehavender</t>
  </si>
  <si>
    <t xml:space="preserve">	Kvartals-ultimoværdi af bruttoaktiver, der er indgået i SFT'er, efter justering for regnskabsmæssige transaktioner vedrørende salg og modregning af relaterede likvide forpligtelser og likvide tilgodehavender</t>
  </si>
  <si>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</si>
  <si>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30a</t>
  </si>
  <si>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</sst>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_(* \(#,##0\);_(* &quot;-&quot;??_);_(@_)"/>
    <numFmt numFmtId="166" formatCode="0.0"/>
    <numFmt numFmtId="167" formatCode="#,##0.0"/>
    <numFmt numFmtId="168" formatCode="_-* #,##0.0_-;\-* #,##0.0_-;_-* &quot;-&quot;??_-;_-@_-"/>
    <numFmt numFmtId="169" formatCode="_-* #,##0_-;\-* #,##0_-;_-* &quot;-&quot;??_-;_-@_-"/>
  </numFmts>
  <fonts count="10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rgb="FF000000"/>
      <name val="Calibri"/>
      <family val="2"/>
      <scheme val="minor"/>
    </font>
    <font>
      <b/>
      <sz val="14"/>
      <color theme="1"/>
      <name val="Calibri"/>
      <family val="2"/>
      <scheme val="minor"/>
    </font>
    <font>
      <sz val="11"/>
      <name val="Calibri"/>
      <family val="2"/>
      <scheme val="minor"/>
    </font>
    <font>
      <b/>
      <sz val="9"/>
      <name val="Calibri"/>
      <family val="2"/>
      <scheme val="minor"/>
    </font>
    <font>
      <sz val="9"/>
      <name val="Calibri"/>
      <family val="2"/>
      <scheme val="minor"/>
    </font>
    <font>
      <sz val="9"/>
      <name val="Calibri Light"/>
      <family val="2"/>
    </font>
    <font>
      <i/>
      <sz val="9"/>
      <name val="Calibri Light"/>
      <family val="2"/>
    </font>
    <font>
      <b/>
      <sz val="9"/>
      <name val="Calibri Light"/>
      <family val="2"/>
    </font>
    <font>
      <sz val="9"/>
      <color theme="1"/>
      <name val="Calibri Light"/>
      <family val="2"/>
    </font>
    <font>
      <sz val="8"/>
      <name val="Calibri"/>
      <family val="2"/>
      <scheme val="minor"/>
    </font>
    <font>
      <sz val="11"/>
      <color rgb="FF444444"/>
      <name val="Calibri"/>
      <family val="2"/>
      <charset val="1"/>
    </font>
    <font>
      <sz val="9"/>
      <name val="Calibri Light"/>
    </font>
    <font>
      <b/>
      <i/>
      <sz val="9"/>
      <name val="Calibri"/>
      <family val="2"/>
      <scheme val="minor"/>
    </font>
    <font>
      <sz val="11"/>
      <color rgb="FF000000"/>
      <name val="Calibri"/>
      <family val="2"/>
      <scheme val="minor"/>
    </font>
    <font>
      <b/>
      <sz val="11"/>
      <color rgb="FF000000"/>
      <name val="Calibri"/>
      <family val="2"/>
      <scheme val="minor"/>
    </font>
    <font>
      <sz val="11"/>
      <color rgb="FF000000"/>
      <name val="Calibri"/>
    </font>
    <font>
      <b/>
      <sz val="11"/>
      <color rgb="FF000000"/>
      <name val="Calibri"/>
      <family val="2"/>
    </font>
    <font>
      <b/>
      <sz val="11"/>
      <color rgb="FF000000"/>
      <name val="Calibri"/>
    </font>
    <font>
      <sz val="11"/>
      <color rgb="FF000000"/>
      <name val="Calibri"/>
      <family val="2"/>
    </font>
    <font>
      <sz val="14"/>
      <color theme="1"/>
      <name val="Calibri"/>
      <family val="2"/>
      <scheme val="minor"/>
    </font>
    <font>
      <b/>
      <sz val="11"/>
      <name val="Calibri"/>
      <family val="2"/>
      <scheme val="minor"/>
    </font>
    <font>
      <b/>
      <sz val="14"/>
      <name val="Calibri"/>
      <family val="2"/>
      <scheme val="minor"/>
    </font>
    <font>
      <sz val="9"/>
      <color theme="1"/>
      <name val="Calibri"/>
      <family val="2"/>
      <scheme val="minor"/>
    </font>
    <font>
      <sz val="10"/>
      <name val="Arial"/>
      <family val="2"/>
    </font>
    <font>
      <sz val="9"/>
      <name val="Calibri"/>
      <family val="2"/>
    </font>
    <font>
      <b/>
      <sz val="9"/>
      <color theme="1"/>
      <name val="Calibri"/>
      <family val="2"/>
      <scheme val="minor"/>
    </font>
    <font>
      <b/>
      <sz val="9"/>
      <name val="Calibri"/>
      <family val="2"/>
    </font>
    <font>
      <strike/>
      <sz val="9"/>
      <name val="Calibri"/>
      <family val="2"/>
    </font>
    <font>
      <sz val="11"/>
      <color theme="1"/>
      <name val="Calibri Light"/>
      <family val="2"/>
      <scheme val="major"/>
    </font>
    <font>
      <sz val="12"/>
      <color theme="1"/>
      <name val="Calibri Light"/>
      <family val="2"/>
      <scheme val="major"/>
    </font>
    <font>
      <sz val="8.5"/>
      <color theme="1"/>
      <name val="Calibri Light"/>
      <family val="2"/>
      <scheme val="major"/>
    </font>
    <font>
      <i/>
      <sz val="8"/>
      <color theme="1"/>
      <name val="Calibri Light"/>
      <family val="2"/>
      <scheme val="major"/>
    </font>
    <font>
      <sz val="8"/>
      <color theme="1"/>
      <name val="Calibri Light"/>
      <family val="2"/>
      <scheme val="major"/>
    </font>
    <font>
      <b/>
      <i/>
      <sz val="8.5"/>
      <color theme="1"/>
      <name val="Calibri Light"/>
      <family val="2"/>
      <scheme val="major"/>
    </font>
    <font>
      <b/>
      <sz val="8.5"/>
      <color theme="1"/>
      <name val="Calibri Light"/>
      <family val="2"/>
      <scheme val="major"/>
    </font>
    <font>
      <b/>
      <sz val="10"/>
      <color rgb="FF2F5773"/>
      <name val="Calibri"/>
      <family val="2"/>
      <scheme val="minor"/>
    </font>
    <font>
      <sz val="12"/>
      <name val="Calibri"/>
      <family val="2"/>
    </font>
    <font>
      <sz val="12"/>
      <color rgb="FF000000"/>
      <name val="Calibri"/>
      <family val="2"/>
    </font>
    <font>
      <b/>
      <i/>
      <sz val="11"/>
      <name val="Calibri"/>
      <family val="2"/>
      <scheme val="minor"/>
    </font>
    <font>
      <b/>
      <sz val="12"/>
      <name val="Calibri"/>
      <family val="2"/>
    </font>
    <font>
      <sz val="12"/>
      <name val="Calibri"/>
      <family val="2"/>
      <scheme val="minor"/>
    </font>
    <font>
      <sz val="8.5"/>
      <name val="Segoe UI"/>
      <family val="2"/>
    </font>
    <font>
      <b/>
      <sz val="8.5"/>
      <name val="Segoe UI"/>
      <family val="2"/>
    </font>
    <font>
      <sz val="14"/>
      <name val="Calibri"/>
      <family val="2"/>
      <scheme val="minor"/>
    </font>
    <font>
      <sz val="16"/>
      <color theme="1"/>
      <name val="Calibri"/>
      <family val="2"/>
      <scheme val="minor"/>
    </font>
    <font>
      <sz val="11"/>
      <color theme="1"/>
      <name val="Calibri"/>
      <family val="2"/>
    </font>
    <font>
      <b/>
      <sz val="11"/>
      <color theme="1"/>
      <name val="Calibri"/>
      <family val="2"/>
    </font>
    <font>
      <i/>
      <sz val="11"/>
      <name val="Calibri"/>
      <family val="2"/>
    </font>
    <font>
      <sz val="11"/>
      <name val="Calibri"/>
      <family val="2"/>
    </font>
    <font>
      <b/>
      <sz val="14"/>
      <color theme="1"/>
      <name val="Calibri"/>
      <family val="2"/>
    </font>
    <font>
      <b/>
      <sz val="8.5"/>
      <color theme="1"/>
      <name val="Calibri"/>
      <family val="2"/>
      <scheme val="minor"/>
    </font>
    <font>
      <sz val="9"/>
      <color theme="1"/>
      <name val="Calibri Light"/>
      <family val="2"/>
      <scheme val="major"/>
    </font>
    <font>
      <sz val="9"/>
      <color rgb="FF000000"/>
      <name val="Calibri Light"/>
      <family val="2"/>
      <scheme val="major"/>
    </font>
    <font>
      <sz val="9"/>
      <name val="Calibri Light"/>
      <family val="2"/>
      <scheme val="major"/>
    </font>
    <font>
      <b/>
      <sz val="9"/>
      <color theme="1"/>
      <name val="Calibri Light"/>
      <family val="2"/>
      <scheme val="major"/>
    </font>
    <font>
      <b/>
      <sz val="12"/>
      <color theme="1"/>
      <name val="Arial"/>
      <family val="2"/>
    </font>
    <font>
      <sz val="8.5"/>
      <color theme="1"/>
      <name val="Segoe UI"/>
      <family val="2"/>
    </font>
    <font>
      <sz val="8"/>
      <color theme="1"/>
      <name val="Segoe UI"/>
      <family val="2"/>
    </font>
    <font>
      <sz val="10"/>
      <color theme="1"/>
      <name val="Arial"/>
      <family val="2"/>
    </font>
    <font>
      <sz val="10"/>
      <color rgb="FFFF0000"/>
      <name val="Arial"/>
      <family val="2"/>
    </font>
    <font>
      <i/>
      <sz val="10"/>
      <name val="Arial"/>
      <family val="2"/>
    </font>
    <font>
      <b/>
      <sz val="10"/>
      <color theme="1"/>
      <name val="Arial"/>
      <family val="2"/>
    </font>
    <font>
      <b/>
      <sz val="16"/>
      <name val="Calibri"/>
      <family val="2"/>
    </font>
    <font>
      <b/>
      <sz val="14"/>
      <name val="Calibri"/>
      <family val="2"/>
    </font>
    <font>
      <sz val="12"/>
      <color theme="1"/>
      <name val="Calibri Light"/>
      <family val="2"/>
    </font>
    <font>
      <sz val="10"/>
      <color theme="1"/>
      <name val="Calibri Light"/>
      <family val="2"/>
    </font>
    <font>
      <sz val="10"/>
      <name val="Calibri Light"/>
      <family val="2"/>
    </font>
    <font>
      <u/>
      <sz val="10"/>
      <color rgb="FF008080"/>
      <name val="Calibri Light"/>
      <family val="2"/>
    </font>
    <font>
      <b/>
      <sz val="10"/>
      <color theme="1"/>
      <name val="Calibri Light"/>
      <family val="2"/>
    </font>
    <font>
      <b/>
      <sz val="12"/>
      <color theme="1"/>
      <name val="Calibri Light"/>
      <family val="2"/>
    </font>
    <font>
      <b/>
      <sz val="10"/>
      <name val="Calibri Light"/>
      <family val="2"/>
    </font>
    <font>
      <sz val="11"/>
      <color theme="1"/>
      <name val="Calibri Light"/>
      <family val="2"/>
    </font>
    <font>
      <u/>
      <sz val="11"/>
      <color rgb="FF008080"/>
      <name val="Calibri Light"/>
      <family val="2"/>
    </font>
    <font>
      <sz val="10"/>
      <color theme="1"/>
      <name val="Calibri"/>
      <family val="2"/>
    </font>
    <font>
      <sz val="10"/>
      <name val="Calibri"/>
      <family val="2"/>
    </font>
    <font>
      <b/>
      <sz val="10"/>
      <name val="Corbel Light"/>
      <family val="2"/>
    </font>
    <font>
      <b/>
      <sz val="11"/>
      <name val="Corbel Light"/>
      <family val="2"/>
    </font>
    <font>
      <sz val="9"/>
      <color rgb="FF000000"/>
      <name val="Calibri Light"/>
      <family val="2"/>
    </font>
    <font>
      <b/>
      <sz val="9"/>
      <color rgb="FF000000"/>
      <name val="Calibri Light"/>
      <family val="2"/>
    </font>
    <font>
      <sz val="11"/>
      <name val="Calibri Light"/>
      <family val="2"/>
    </font>
    <font>
      <sz val="14"/>
      <color theme="1"/>
      <name val="Calibri"/>
      <family val="2"/>
    </font>
    <font>
      <b/>
      <sz val="16"/>
      <color theme="1"/>
      <name val="Calibri Light"/>
      <family val="2"/>
    </font>
    <font>
      <sz val="10"/>
      <color rgb="FF000000"/>
      <name val="Calibri Light"/>
      <family val="2"/>
    </font>
    <font>
      <b/>
      <sz val="10"/>
      <color rgb="FF000000"/>
      <name val="Calibri Light"/>
      <family val="2"/>
    </font>
    <font>
      <sz val="11"/>
      <color rgb="FF0070C0"/>
      <name val="Calibri"/>
      <family val="2"/>
      <scheme val="minor"/>
    </font>
    <font>
      <sz val="12"/>
      <color theme="1"/>
      <name val="Calibri"/>
      <family val="2"/>
      <scheme val="minor"/>
    </font>
    <font>
      <i/>
      <sz val="11"/>
      <color theme="1"/>
      <name val="Calibri"/>
      <family val="2"/>
      <scheme val="minor"/>
    </font>
    <font>
      <i/>
      <sz val="11"/>
      <color theme="1"/>
      <name val="Calibri Light"/>
      <family val="2"/>
      <scheme val="major"/>
    </font>
    <font>
      <b/>
      <sz val="11"/>
      <color theme="0"/>
      <name val="Calibri Light"/>
      <family val="2"/>
      <scheme val="major"/>
    </font>
    <font>
      <b/>
      <sz val="11"/>
      <color theme="1"/>
      <name val="Calibri Light"/>
      <family val="2"/>
      <scheme val="major"/>
    </font>
    <font>
      <i/>
      <sz val="11"/>
      <name val="Calibri Light"/>
      <family val="2"/>
      <scheme val="major"/>
    </font>
    <font>
      <sz val="11"/>
      <name val="Calibri Light"/>
      <family val="2"/>
      <scheme val="major"/>
    </font>
    <font>
      <sz val="11"/>
      <name val="Times New Roman"/>
      <family val="1"/>
    </font>
    <font>
      <b/>
      <i/>
      <sz val="12"/>
      <name val="Times New Roman"/>
      <family val="1"/>
    </font>
    <font>
      <i/>
      <sz val="12"/>
      <name val="Times New Roman"/>
      <family val="1"/>
    </font>
    <font>
      <sz val="11"/>
      <color theme="0" tint="-4.9989318521683403E-2"/>
      <name val="Calibri"/>
      <family val="2"/>
      <scheme val="minor"/>
    </font>
    <font>
      <b/>
      <sz val="11"/>
      <name val="Calibri"/>
      <family val="2"/>
    </font>
    <font>
      <b/>
      <sz val="20"/>
      <name val="Calibri"/>
      <family val="2"/>
    </font>
    <font>
      <sz val="20"/>
      <name val="Calibri"/>
      <family val="2"/>
    </font>
    <font>
      <sz val="11"/>
      <name val="Segoe UI"/>
      <family val="2"/>
    </font>
    <font>
      <sz val="6"/>
      <color rgb="FF666666"/>
      <name val="Segoe UI"/>
      <family val="2"/>
    </font>
    <font>
      <sz val="16"/>
      <name val="Calibri"/>
      <family val="2"/>
    </font>
    <font>
      <b/>
      <u/>
      <sz val="11"/>
      <name val="Calibri"/>
      <family val="2"/>
    </font>
    <font>
      <u/>
      <sz val="11"/>
      <color theme="10"/>
      <name val="Calibri"/>
      <family val="2"/>
      <scheme val="minor"/>
    </font>
  </fonts>
  <fills count="18">
    <fill>
      <patternFill patternType="none"/>
    </fill>
    <fill>
      <patternFill patternType="gray125"/>
    </fill>
    <fill>
      <patternFill patternType="solid">
        <fgColor rgb="FFB2BDC8"/>
        <bgColor indexed="64"/>
      </patternFill>
    </fill>
    <fill>
      <patternFill patternType="solid">
        <fgColor rgb="FFFFFFFF"/>
        <bgColor indexed="64"/>
      </patternFill>
    </fill>
    <fill>
      <patternFill patternType="solid">
        <fgColor indexed="42"/>
        <bgColor indexed="64"/>
      </patternFill>
    </fill>
    <fill>
      <patternFill patternType="solid">
        <fgColor rgb="FFFFFFFF"/>
        <bgColor rgb="FF000000"/>
      </patternFill>
    </fill>
    <fill>
      <patternFill patternType="solid">
        <fgColor rgb="FF808080"/>
        <bgColor rgb="FF000000"/>
      </patternFill>
    </fill>
    <fill>
      <patternFill patternType="solid">
        <fgColor theme="0"/>
        <bgColor indexed="64"/>
      </patternFill>
    </fill>
    <fill>
      <patternFill patternType="solid">
        <fgColor theme="0" tint="-4.9989318521683403E-2"/>
        <bgColor indexed="64"/>
      </patternFill>
    </fill>
    <fill>
      <patternFill patternType="solid">
        <fgColor rgb="FF595959"/>
        <bgColor indexed="64"/>
      </patternFill>
    </fill>
    <fill>
      <patternFill patternType="solid">
        <fgColor theme="0" tint="-0.249977111117893"/>
        <bgColor indexed="64"/>
      </patternFill>
    </fill>
    <fill>
      <patternFill patternType="solid">
        <fgColor rgb="FFBFBFBF"/>
        <bgColor indexed="64"/>
      </patternFill>
    </fill>
    <fill>
      <patternFill patternType="solid">
        <fgColor rgb="FFD9DDE3"/>
        <bgColor indexed="64"/>
      </patternFill>
    </fill>
    <fill>
      <patternFill patternType="solid">
        <fgColor rgb="FF5E788E"/>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2"/>
        <bgColor indexed="64"/>
      </patternFill>
    </fill>
    <fill>
      <patternFill patternType="solid">
        <fgColor indexed="9"/>
        <bgColor indexed="64"/>
      </patternFill>
    </fill>
  </fills>
  <borders count="5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bottom style="medium">
        <color indexed="64"/>
      </bottom>
      <diagonal/>
    </border>
    <border>
      <left/>
      <right style="thin">
        <color indexed="9"/>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8" fillId="0" borderId="0">
      <alignment vertical="center"/>
    </xf>
    <xf numFmtId="3" fontId="28" fillId="4" borderId="2" applyFont="0">
      <alignment horizontal="right" vertical="center"/>
      <protection locked="0"/>
    </xf>
    <xf numFmtId="0" fontId="28" fillId="0" borderId="0">
      <alignment vertical="center"/>
    </xf>
    <xf numFmtId="0" fontId="28" fillId="0" borderId="0"/>
    <xf numFmtId="0" fontId="28" fillId="0" borderId="0"/>
    <xf numFmtId="0" fontId="28" fillId="0" borderId="0"/>
    <xf numFmtId="0" fontId="108" fillId="0" borderId="0" applyNumberFormat="0" applyFill="0" applyBorder="0" applyAlignment="0" applyProtection="0"/>
  </cellStyleXfs>
  <cellXfs count="599">
    <xf numFmtId="0" fontId="0" fillId="0" borderId="0" xfId="0"/>
    <xf numFmtId="0" fontId="5" fillId="0" borderId="1" xfId="0" applyFont="1" applyBorder="1" applyAlignment="1">
      <alignment vertical="center"/>
    </xf>
    <xf numFmtId="0" fontId="0" fillId="0" borderId="0" xfId="0" applyAlignment="1">
      <alignment horizontal="right"/>
    </xf>
    <xf numFmtId="0" fontId="6" fillId="0" borderId="0" xfId="0" applyFont="1"/>
    <xf numFmtId="0" fontId="0" fillId="0" borderId="2" xfId="0" applyBorder="1"/>
    <xf numFmtId="0" fontId="7"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justify" vertical="center"/>
    </xf>
    <xf numFmtId="3" fontId="10" fillId="0" borderId="6" xfId="0" applyNumberFormat="1" applyFont="1" applyBorder="1" applyAlignment="1">
      <alignment horizontal="right" wrapText="1"/>
    </xf>
    <xf numFmtId="0" fontId="10" fillId="0" borderId="2" xfId="0" applyFont="1" applyBorder="1"/>
    <xf numFmtId="0" fontId="11" fillId="0" borderId="6" xfId="0" applyFont="1" applyBorder="1" applyAlignment="1">
      <alignment horizontal="right" wrapText="1"/>
    </xf>
    <xf numFmtId="0" fontId="10" fillId="0" borderId="6" xfId="0" applyFont="1" applyBorder="1"/>
    <xf numFmtId="0" fontId="10" fillId="0" borderId="6" xfId="0" applyFont="1" applyBorder="1" applyAlignment="1">
      <alignment horizontal="right" wrapText="1"/>
    </xf>
    <xf numFmtId="0" fontId="8" fillId="0" borderId="2" xfId="0" applyFont="1" applyBorder="1" applyAlignment="1">
      <alignment horizontal="center" vertical="center"/>
    </xf>
    <xf numFmtId="0" fontId="8" fillId="0" borderId="2" xfId="0" applyFont="1" applyBorder="1" applyAlignment="1">
      <alignment horizontal="justify" vertical="center"/>
    </xf>
    <xf numFmtId="3" fontId="12" fillId="0" borderId="6" xfId="0" applyNumberFormat="1" applyFont="1" applyBorder="1" applyAlignment="1">
      <alignment horizontal="right" wrapText="1"/>
    </xf>
    <xf numFmtId="0" fontId="9" fillId="0" borderId="2" xfId="0" applyFont="1" applyBorder="1" applyAlignment="1">
      <alignment horizontal="justify" vertical="center" wrapText="1"/>
    </xf>
    <xf numFmtId="0" fontId="13" fillId="0" borderId="0" xfId="0" applyFont="1"/>
    <xf numFmtId="0" fontId="11" fillId="0" borderId="6" xfId="0" applyFont="1" applyBorder="1"/>
    <xf numFmtId="0" fontId="9" fillId="0" borderId="2" xfId="0" applyFont="1" applyBorder="1" applyAlignment="1">
      <alignment vertical="center" wrapText="1"/>
    </xf>
    <xf numFmtId="0" fontId="11" fillId="0" borderId="6" xfId="0" applyFont="1" applyBorder="1" applyAlignment="1">
      <alignment wrapText="1"/>
    </xf>
    <xf numFmtId="0" fontId="8" fillId="0" borderId="2" xfId="0" applyFont="1" applyBorder="1" applyAlignment="1">
      <alignment horizontal="justify" vertical="center" wrapText="1"/>
    </xf>
    <xf numFmtId="0" fontId="10" fillId="0" borderId="2" xfId="0" applyFont="1" applyBorder="1" applyAlignment="1">
      <alignment vertical="center" wrapText="1"/>
    </xf>
    <xf numFmtId="0" fontId="10" fillId="0" borderId="2" xfId="0" applyFont="1" applyBorder="1" applyAlignment="1">
      <alignment horizontal="right" wrapText="1"/>
    </xf>
    <xf numFmtId="0" fontId="9" fillId="0" borderId="2" xfId="0" applyFont="1" applyBorder="1" applyAlignment="1">
      <alignment horizontal="left" vertical="center" wrapText="1"/>
    </xf>
    <xf numFmtId="0" fontId="12" fillId="0" borderId="2" xfId="0" applyFont="1" applyBorder="1" applyAlignment="1">
      <alignment vertical="center" wrapText="1"/>
    </xf>
    <xf numFmtId="0" fontId="8" fillId="0" borderId="2" xfId="0" applyFont="1" applyBorder="1" applyAlignment="1">
      <alignment vertical="center" wrapText="1"/>
    </xf>
    <xf numFmtId="0" fontId="15" fillId="0" borderId="0" xfId="0" applyFont="1"/>
    <xf numFmtId="164" fontId="16" fillId="0" borderId="2" xfId="2" applyNumberFormat="1" applyFont="1" applyBorder="1" applyAlignment="1">
      <alignment horizontal="right" wrapText="1"/>
    </xf>
    <xf numFmtId="164" fontId="16" fillId="0" borderId="6" xfId="2" applyNumberFormat="1" applyFont="1" applyBorder="1" applyAlignment="1">
      <alignment horizontal="right" wrapText="1"/>
    </xf>
    <xf numFmtId="164" fontId="10" fillId="0" borderId="6" xfId="2" applyNumberFormat="1" applyFont="1" applyBorder="1" applyAlignment="1">
      <alignment horizontal="right" wrapText="1"/>
    </xf>
    <xf numFmtId="0" fontId="9" fillId="0" borderId="2" xfId="0" applyFont="1" applyBorder="1" applyAlignment="1">
      <alignment horizontal="left" vertical="center" wrapText="1" indent="1"/>
    </xf>
    <xf numFmtId="164" fontId="9" fillId="0" borderId="2" xfId="2" applyNumberFormat="1" applyFont="1" applyBorder="1" applyAlignment="1">
      <alignment horizontal="right" vertical="center"/>
    </xf>
    <xf numFmtId="0" fontId="9" fillId="0" borderId="2" xfId="0" applyFont="1" applyBorder="1" applyAlignment="1">
      <alignment horizontal="right" vertical="center"/>
    </xf>
    <xf numFmtId="0" fontId="9" fillId="0" borderId="7" xfId="0" applyFont="1" applyBorder="1" applyAlignment="1">
      <alignment horizontal="center" vertical="center"/>
    </xf>
    <xf numFmtId="0" fontId="9" fillId="0" borderId="7" xfId="0" applyFont="1" applyBorder="1" applyAlignment="1">
      <alignment horizontal="left" vertical="center" wrapText="1"/>
    </xf>
    <xf numFmtId="0" fontId="10" fillId="0" borderId="7" xfId="0" applyFont="1" applyBorder="1" applyAlignment="1">
      <alignment horizontal="center" vertical="center" wrapText="1"/>
    </xf>
    <xf numFmtId="0" fontId="9" fillId="0" borderId="2" xfId="0" applyFont="1" applyBorder="1" applyAlignment="1">
      <alignment horizontal="right" vertical="center" wrapText="1"/>
    </xf>
    <xf numFmtId="0" fontId="0" fillId="0" borderId="8" xfId="0" applyBorder="1"/>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9" xfId="0" applyBorder="1" applyAlignment="1">
      <alignment horizontal="center"/>
    </xf>
    <xf numFmtId="0" fontId="19"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8" xfId="0" applyFont="1" applyBorder="1"/>
    <xf numFmtId="0" fontId="20" fillId="0" borderId="8" xfId="0" applyFont="1" applyBorder="1" applyAlignment="1">
      <alignment wrapText="1"/>
    </xf>
    <xf numFmtId="3" fontId="20" fillId="0" borderId="8" xfId="0" applyNumberFormat="1" applyFont="1" applyBorder="1" applyAlignment="1">
      <alignment horizontal="right" wrapText="1"/>
    </xf>
    <xf numFmtId="0" fontId="0" fillId="0" borderId="8" xfId="0" applyBorder="1" applyAlignment="1">
      <alignment vertical="center"/>
    </xf>
    <xf numFmtId="3" fontId="21" fillId="0" borderId="8" xfId="0" applyNumberFormat="1" applyFont="1" applyBorder="1" applyAlignment="1">
      <alignment horizontal="right" wrapText="1"/>
    </xf>
    <xf numFmtId="0" fontId="18" fillId="0" borderId="8" xfId="0" applyFont="1" applyBorder="1" applyAlignment="1">
      <alignment horizontal="center" vertical="center" wrapText="1"/>
    </xf>
    <xf numFmtId="0" fontId="20" fillId="0" borderId="8" xfId="0" applyFont="1" applyBorder="1" applyAlignment="1">
      <alignment horizontal="right" wrapText="1"/>
    </xf>
    <xf numFmtId="0" fontId="20" fillId="0" borderId="5" xfId="0" applyFont="1" applyBorder="1" applyAlignment="1">
      <alignment wrapText="1"/>
    </xf>
    <xf numFmtId="0" fontId="23" fillId="0" borderId="8" xfId="0" applyFont="1" applyBorder="1"/>
    <xf numFmtId="0" fontId="20" fillId="0" borderId="15" xfId="0" applyFont="1" applyBorder="1" applyAlignment="1">
      <alignment wrapText="1"/>
    </xf>
    <xf numFmtId="0" fontId="20" fillId="0" borderId="16" xfId="0" applyFont="1" applyBorder="1" applyAlignment="1">
      <alignment wrapText="1"/>
    </xf>
    <xf numFmtId="0" fontId="22" fillId="0" borderId="8" xfId="0" applyFont="1" applyBorder="1"/>
    <xf numFmtId="3" fontId="0" fillId="0" borderId="0" xfId="0" applyNumberFormat="1"/>
    <xf numFmtId="0" fontId="24" fillId="0" borderId="0" xfId="0" applyFont="1"/>
    <xf numFmtId="0" fontId="26" fillId="0" borderId="0" xfId="0" applyFont="1" applyAlignment="1">
      <alignment vertical="center"/>
    </xf>
    <xf numFmtId="0" fontId="27" fillId="0" borderId="2" xfId="0" applyFont="1" applyBorder="1"/>
    <xf numFmtId="0" fontId="27" fillId="3" borderId="2" xfId="0" applyFont="1" applyFill="1" applyBorder="1" applyAlignment="1">
      <alignment horizontal="center" vertical="center"/>
    </xf>
    <xf numFmtId="0" fontId="27" fillId="0" borderId="17" xfId="0" applyFont="1" applyBorder="1"/>
    <xf numFmtId="0" fontId="27" fillId="0" borderId="6" xfId="0" applyFont="1" applyBorder="1" applyAlignment="1">
      <alignment wrapText="1"/>
    </xf>
    <xf numFmtId="0" fontId="27"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0" fillId="0" borderId="0" xfId="0" applyAlignment="1">
      <alignment wrapText="1"/>
    </xf>
    <xf numFmtId="0" fontId="27" fillId="0" borderId="2" xfId="0" quotePrefix="1" applyFont="1" applyBorder="1" applyAlignment="1">
      <alignment horizontal="center"/>
    </xf>
    <xf numFmtId="0" fontId="8" fillId="2" borderId="2" xfId="3" applyFont="1" applyFill="1" applyBorder="1" applyAlignment="1">
      <alignment horizontal="left" vertical="center" indent="1"/>
    </xf>
    <xf numFmtId="3" fontId="9" fillId="2" borderId="2" xfId="4" applyFont="1" applyFill="1" applyAlignment="1">
      <alignment horizontal="center" vertical="center"/>
      <protection locked="0"/>
    </xf>
    <xf numFmtId="0" fontId="27" fillId="2" borderId="2" xfId="0" applyFont="1" applyFill="1" applyBorder="1"/>
    <xf numFmtId="0" fontId="29" fillId="5" borderId="2" xfId="0" applyFont="1" applyFill="1" applyBorder="1"/>
    <xf numFmtId="165" fontId="29" fillId="5" borderId="5" xfId="0" applyNumberFormat="1" applyFont="1" applyFill="1" applyBorder="1" applyAlignment="1">
      <alignment horizontal="right"/>
    </xf>
    <xf numFmtId="9" fontId="29" fillId="5" borderId="5" xfId="2" applyFont="1" applyFill="1" applyBorder="1" applyAlignment="1">
      <alignment horizontal="right"/>
    </xf>
    <xf numFmtId="0" fontId="29" fillId="5" borderId="6" xfId="0" applyFont="1" applyFill="1" applyBorder="1"/>
    <xf numFmtId="165" fontId="29" fillId="5" borderId="15" xfId="0" applyNumberFormat="1" applyFont="1" applyFill="1" applyBorder="1" applyAlignment="1">
      <alignment horizontal="right"/>
    </xf>
    <xf numFmtId="9" fontId="29" fillId="5" borderId="15" xfId="2" applyFont="1" applyFill="1" applyBorder="1" applyAlignment="1">
      <alignment horizontal="right"/>
    </xf>
    <xf numFmtId="0" fontId="30" fillId="0" borderId="2" xfId="0" quotePrefix="1" applyFont="1" applyBorder="1" applyAlignment="1">
      <alignment horizontal="center" vertical="center"/>
    </xf>
    <xf numFmtId="0" fontId="31" fillId="0" borderId="6" xfId="0" applyFont="1" applyBorder="1"/>
    <xf numFmtId="165" fontId="31" fillId="5" borderId="15" xfId="0" applyNumberFormat="1" applyFont="1" applyFill="1" applyBorder="1" applyAlignment="1">
      <alignment horizontal="right"/>
    </xf>
    <xf numFmtId="165" fontId="31" fillId="5" borderId="5" xfId="0" applyNumberFormat="1" applyFont="1" applyFill="1" applyBorder="1" applyAlignment="1">
      <alignment horizontal="right"/>
    </xf>
    <xf numFmtId="9" fontId="31" fillId="5" borderId="15" xfId="2" applyFont="1" applyFill="1" applyBorder="1" applyAlignment="1">
      <alignment horizontal="right"/>
    </xf>
    <xf numFmtId="165" fontId="32" fillId="6" borderId="15" xfId="0" applyNumberFormat="1" applyFont="1" applyFill="1" applyBorder="1" applyAlignment="1">
      <alignment horizontal="right"/>
    </xf>
    <xf numFmtId="0" fontId="0" fillId="0" borderId="2" xfId="0" applyBorder="1" applyAlignment="1">
      <alignment horizontal="center"/>
    </xf>
    <xf numFmtId="0" fontId="0" fillId="3" borderId="2" xfId="0" applyFill="1" applyBorder="1" applyAlignment="1">
      <alignment horizontal="center" vertical="center" wrapText="1"/>
    </xf>
    <xf numFmtId="0" fontId="0" fillId="0" borderId="2" xfId="0" quotePrefix="1" applyBorder="1" applyAlignment="1">
      <alignment horizontal="center" vertical="center"/>
    </xf>
    <xf numFmtId="0" fontId="7" fillId="0" borderId="2" xfId="3" applyFont="1" applyBorder="1" applyAlignment="1">
      <alignment horizontal="left" vertical="center" wrapText="1" indent="1"/>
    </xf>
    <xf numFmtId="3" fontId="7" fillId="0" borderId="2" xfId="4" applyFont="1" applyFill="1" applyAlignment="1">
      <alignment horizontal="center" vertical="center"/>
      <protection locked="0"/>
    </xf>
    <xf numFmtId="3" fontId="7" fillId="0" borderId="2" xfId="4" applyFont="1" applyFill="1" applyAlignment="1">
      <alignment horizontal="center" vertical="center" wrapText="1"/>
      <protection locked="0"/>
    </xf>
    <xf numFmtId="0" fontId="33" fillId="0" borderId="0" xfId="0" applyFont="1"/>
    <xf numFmtId="0" fontId="34" fillId="0" borderId="0" xfId="0" applyFont="1" applyAlignment="1">
      <alignment vertical="center"/>
    </xf>
    <xf numFmtId="0" fontId="34" fillId="0" borderId="0" xfId="0" applyFont="1"/>
    <xf numFmtId="0" fontId="34" fillId="0" borderId="21" xfId="0" applyFont="1" applyBorder="1" applyAlignment="1">
      <alignment vertical="center" wrapText="1"/>
    </xf>
    <xf numFmtId="0" fontId="34" fillId="0" borderId="22" xfId="0" applyFont="1" applyBorder="1" applyAlignment="1">
      <alignment vertical="center" wrapText="1"/>
    </xf>
    <xf numFmtId="0" fontId="35" fillId="0" borderId="22" xfId="0" applyFont="1" applyBorder="1" applyAlignment="1">
      <alignment horizontal="center" vertical="center" wrapText="1"/>
    </xf>
    <xf numFmtId="0" fontId="34" fillId="0" borderId="23" xfId="0" applyFont="1" applyBorder="1" applyAlignment="1">
      <alignment vertical="center" wrapText="1"/>
    </xf>
    <xf numFmtId="0" fontId="35" fillId="0" borderId="22" xfId="0" applyFont="1" applyBorder="1" applyAlignment="1">
      <alignment vertical="center" wrapText="1"/>
    </xf>
    <xf numFmtId="0" fontId="34" fillId="0" borderId="28" xfId="0" applyFont="1" applyBorder="1" applyAlignment="1">
      <alignment vertical="center" wrapText="1"/>
    </xf>
    <xf numFmtId="0" fontId="34" fillId="0" borderId="34" xfId="0" applyFont="1" applyBorder="1" applyAlignment="1">
      <alignment vertical="center" wrapText="1"/>
    </xf>
    <xf numFmtId="0" fontId="35" fillId="0" borderId="35" xfId="0" applyFont="1" applyBorder="1" applyAlignment="1">
      <alignment vertical="center" wrapText="1"/>
    </xf>
    <xf numFmtId="0" fontId="35" fillId="7" borderId="1" xfId="0" applyFont="1" applyFill="1" applyBorder="1" applyAlignment="1">
      <alignment horizontal="center" vertical="center" wrapText="1"/>
    </xf>
    <xf numFmtId="0" fontId="35" fillId="7" borderId="35" xfId="0" applyFont="1" applyFill="1" applyBorder="1" applyAlignment="1">
      <alignment horizontal="center" vertical="center" wrapText="1"/>
    </xf>
    <xf numFmtId="0" fontId="35" fillId="0" borderId="28" xfId="0" applyFont="1" applyBorder="1" applyAlignment="1">
      <alignment horizontal="center" vertical="center" wrapText="1"/>
    </xf>
    <xf numFmtId="49" fontId="35" fillId="0" borderId="37" xfId="0" applyNumberFormat="1" applyFont="1" applyBorder="1" applyAlignment="1">
      <alignment horizontal="center" vertical="center" wrapText="1"/>
    </xf>
    <xf numFmtId="3" fontId="35" fillId="0" borderId="22" xfId="0" applyNumberFormat="1" applyFont="1" applyBorder="1" applyAlignment="1">
      <alignment horizontal="right" vertical="center" wrapText="1"/>
    </xf>
    <xf numFmtId="3" fontId="35" fillId="0" borderId="35" xfId="0" applyNumberFormat="1" applyFont="1" applyBorder="1" applyAlignment="1">
      <alignment horizontal="right" vertical="center" wrapText="1"/>
    </xf>
    <xf numFmtId="49" fontId="36" fillId="3" borderId="34" xfId="0" applyNumberFormat="1" applyFont="1" applyFill="1" applyBorder="1" applyAlignment="1">
      <alignment horizontal="center" vertical="center" wrapText="1"/>
    </xf>
    <xf numFmtId="0" fontId="36" fillId="3" borderId="35" xfId="0" applyFont="1" applyFill="1" applyBorder="1" applyAlignment="1">
      <alignment horizontal="left" vertical="center" wrapText="1" indent="1"/>
    </xf>
    <xf numFmtId="3" fontId="37" fillId="3" borderId="35" xfId="0" applyNumberFormat="1" applyFont="1" applyFill="1" applyBorder="1" applyAlignment="1">
      <alignment horizontal="right" vertical="center" wrapText="1" indent="1"/>
    </xf>
    <xf numFmtId="0" fontId="36" fillId="3" borderId="35" xfId="0" applyFont="1" applyFill="1" applyBorder="1" applyAlignment="1">
      <alignment vertical="center" wrapText="1"/>
    </xf>
    <xf numFmtId="3" fontId="36" fillId="8" borderId="35" xfId="0" applyNumberFormat="1" applyFont="1" applyFill="1" applyBorder="1" applyAlignment="1">
      <alignment horizontal="right" vertical="center" wrapText="1" indent="1"/>
    </xf>
    <xf numFmtId="3" fontId="35" fillId="8" borderId="35" xfId="0" applyNumberFormat="1" applyFont="1" applyFill="1" applyBorder="1" applyAlignment="1">
      <alignment horizontal="right" vertical="center" wrapText="1"/>
    </xf>
    <xf numFmtId="49" fontId="35" fillId="0" borderId="34" xfId="0" applyNumberFormat="1" applyFont="1" applyBorder="1" applyAlignment="1">
      <alignment horizontal="center" vertical="center" wrapText="1"/>
    </xf>
    <xf numFmtId="3" fontId="35" fillId="9" borderId="35" xfId="0" applyNumberFormat="1" applyFont="1" applyFill="1" applyBorder="1" applyAlignment="1">
      <alignment horizontal="right" vertical="center" wrapText="1"/>
    </xf>
    <xf numFmtId="49" fontId="38" fillId="0" borderId="34" xfId="0" applyNumberFormat="1" applyFont="1" applyBorder="1" applyAlignment="1">
      <alignment horizontal="center" vertical="center" wrapText="1"/>
    </xf>
    <xf numFmtId="0" fontId="38" fillId="0" borderId="35" xfId="0" applyFont="1" applyBorder="1" applyAlignment="1">
      <alignment vertical="center" wrapText="1"/>
    </xf>
    <xf numFmtId="3" fontId="39" fillId="0" borderId="35" xfId="0" applyNumberFormat="1" applyFont="1" applyBorder="1" applyAlignment="1">
      <alignment horizontal="right" vertical="center" wrapText="1"/>
    </xf>
    <xf numFmtId="3" fontId="33" fillId="0" borderId="0" xfId="0" applyNumberFormat="1" applyFont="1"/>
    <xf numFmtId="0" fontId="40" fillId="0" borderId="0" xfId="0" applyFont="1" applyAlignment="1">
      <alignment vertical="center"/>
    </xf>
    <xf numFmtId="0" fontId="40" fillId="0" borderId="2" xfId="0" applyFont="1" applyBorder="1" applyAlignment="1">
      <alignment vertical="center"/>
    </xf>
    <xf numFmtId="0" fontId="0" fillId="0" borderId="5" xfId="0" applyBorder="1"/>
    <xf numFmtId="0" fontId="0" fillId="0" borderId="6" xfId="0" applyBorder="1"/>
    <xf numFmtId="0" fontId="0" fillId="0" borderId="15" xfId="0" applyBorder="1" applyAlignment="1">
      <alignment horizontal="center"/>
    </xf>
    <xf numFmtId="0" fontId="0" fillId="0" borderId="15" xfId="0" applyBorder="1"/>
    <xf numFmtId="0" fontId="0" fillId="0" borderId="2" xfId="0"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wrapText="1"/>
    </xf>
    <xf numFmtId="3" fontId="41" fillId="0" borderId="2" xfId="0" applyNumberFormat="1" applyFont="1" applyBorder="1" applyAlignment="1">
      <alignment horizontal="right"/>
    </xf>
    <xf numFmtId="3" fontId="42" fillId="0" borderId="5" xfId="0" applyNumberFormat="1" applyFont="1" applyBorder="1" applyAlignment="1">
      <alignment horizontal="right"/>
    </xf>
    <xf numFmtId="3" fontId="23" fillId="0" borderId="5" xfId="0" applyNumberFormat="1" applyFont="1" applyBorder="1" applyAlignment="1">
      <alignment horizontal="right"/>
    </xf>
    <xf numFmtId="3" fontId="41" fillId="0" borderId="6" xfId="0" applyNumberFormat="1" applyFont="1" applyBorder="1" applyAlignment="1">
      <alignment horizontal="right"/>
    </xf>
    <xf numFmtId="3" fontId="42" fillId="0" borderId="15" xfId="0" applyNumberFormat="1" applyFont="1" applyBorder="1" applyAlignment="1">
      <alignment horizontal="right"/>
    </xf>
    <xf numFmtId="3" fontId="23" fillId="0" borderId="15" xfId="0" applyNumberFormat="1" applyFont="1" applyBorder="1" applyAlignment="1">
      <alignment horizontal="right"/>
    </xf>
    <xf numFmtId="0" fontId="43" fillId="0" borderId="2" xfId="0" applyFont="1" applyBorder="1" applyAlignment="1">
      <alignment horizontal="center" vertical="center"/>
    </xf>
    <xf numFmtId="0" fontId="43" fillId="0" borderId="5" xfId="0" applyFont="1" applyBorder="1" applyAlignment="1">
      <alignment wrapText="1"/>
    </xf>
    <xf numFmtId="3" fontId="44" fillId="0" borderId="6" xfId="0" applyNumberFormat="1" applyFont="1" applyBorder="1" applyAlignment="1">
      <alignment horizontal="right"/>
    </xf>
    <xf numFmtId="3" fontId="44" fillId="0" borderId="15" xfId="0" applyNumberFormat="1" applyFont="1" applyBorder="1" applyAlignment="1">
      <alignment horizontal="right"/>
    </xf>
    <xf numFmtId="3" fontId="21" fillId="0" borderId="15" xfId="0" applyNumberFormat="1" applyFont="1" applyBorder="1" applyAlignment="1">
      <alignment horizontal="right"/>
    </xf>
    <xf numFmtId="0" fontId="45" fillId="0" borderId="0" xfId="0" applyFont="1" applyAlignment="1">
      <alignment vertical="center"/>
    </xf>
    <xf numFmtId="0" fontId="45" fillId="0" borderId="0" xfId="0" applyFont="1"/>
    <xf numFmtId="0" fontId="45" fillId="0" borderId="23" xfId="0" applyFont="1" applyBorder="1" applyAlignment="1">
      <alignment vertical="center"/>
    </xf>
    <xf numFmtId="0" fontId="46" fillId="0" borderId="37" xfId="0" applyFont="1" applyBorder="1" applyAlignment="1">
      <alignment horizontal="center" vertical="center" wrapText="1"/>
    </xf>
    <xf numFmtId="0" fontId="45" fillId="0" borderId="34" xfId="0" applyFont="1" applyBorder="1" applyAlignment="1">
      <alignment vertical="center"/>
    </xf>
    <xf numFmtId="0" fontId="45" fillId="0" borderId="35" xfId="0" applyFont="1" applyBorder="1"/>
    <xf numFmtId="0" fontId="46" fillId="0" borderId="34" xfId="0" applyFont="1" applyBorder="1" applyAlignment="1">
      <alignment horizontal="center" vertical="center" wrapText="1"/>
    </xf>
    <xf numFmtId="49" fontId="47" fillId="0" borderId="37" xfId="0" applyNumberFormat="1" applyFont="1" applyBorder="1" applyAlignment="1">
      <alignment horizontal="center" vertical="center" wrapText="1"/>
    </xf>
    <xf numFmtId="0" fontId="47" fillId="0" borderId="22" xfId="0" applyFont="1" applyBorder="1" applyAlignment="1">
      <alignment vertical="center" wrapText="1"/>
    </xf>
    <xf numFmtId="3" fontId="46" fillId="0" borderId="35" xfId="0" applyNumberFormat="1" applyFont="1" applyBorder="1" applyAlignment="1">
      <alignment horizontal="right" vertical="center" wrapText="1"/>
    </xf>
    <xf numFmtId="49" fontId="46" fillId="0" borderId="34" xfId="0" applyNumberFormat="1" applyFont="1" applyBorder="1" applyAlignment="1">
      <alignment horizontal="center" vertical="center" wrapText="1"/>
    </xf>
    <xf numFmtId="0" fontId="46" fillId="0" borderId="35" xfId="0" applyFont="1" applyBorder="1" applyAlignment="1">
      <alignment vertical="center" wrapText="1"/>
    </xf>
    <xf numFmtId="0" fontId="46" fillId="0" borderId="35" xfId="0" applyFont="1" applyBorder="1" applyAlignment="1">
      <alignment horizontal="left" vertical="center" wrapText="1" indent="1"/>
    </xf>
    <xf numFmtId="49" fontId="47" fillId="0" borderId="34" xfId="0" applyNumberFormat="1" applyFont="1" applyBorder="1" applyAlignment="1">
      <alignment horizontal="center" vertical="center" wrapText="1"/>
    </xf>
    <xf numFmtId="0" fontId="47" fillId="0" borderId="35" xfId="0" applyFont="1" applyBorder="1" applyAlignment="1">
      <alignment vertical="center" wrapText="1"/>
    </xf>
    <xf numFmtId="0" fontId="48" fillId="0" borderId="0" xfId="0" applyFont="1"/>
    <xf numFmtId="0" fontId="49" fillId="0" borderId="0" xfId="0" applyFont="1"/>
    <xf numFmtId="0" fontId="50" fillId="0" borderId="18" xfId="0" applyFont="1" applyBorder="1"/>
    <xf numFmtId="0" fontId="23" fillId="0" borderId="19" xfId="0" applyFont="1" applyBorder="1" applyAlignment="1">
      <alignment vertical="center" wrapText="1"/>
    </xf>
    <xf numFmtId="0" fontId="21" fillId="7" borderId="7"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21" fillId="7" borderId="4" xfId="0" applyFont="1" applyFill="1" applyBorder="1" applyAlignment="1">
      <alignment vertical="center" wrapText="1"/>
    </xf>
    <xf numFmtId="0" fontId="50" fillId="0" borderId="19" xfId="0" applyFont="1" applyBorder="1"/>
    <xf numFmtId="0" fontId="50" fillId="0" borderId="0" xfId="0" applyFont="1"/>
    <xf numFmtId="0" fontId="50" fillId="0" borderId="38" xfId="0" applyFont="1" applyBorder="1"/>
    <xf numFmtId="0" fontId="23" fillId="0" borderId="16" xfId="0" applyFont="1" applyBorder="1" applyAlignment="1">
      <alignment vertical="center" wrapText="1"/>
    </xf>
    <xf numFmtId="0" fontId="21" fillId="7" borderId="17" xfId="0" applyFont="1" applyFill="1" applyBorder="1" applyAlignment="1">
      <alignment horizontal="center" vertical="center" wrapText="1"/>
    </xf>
    <xf numFmtId="0" fontId="21" fillId="7" borderId="38"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50" fillId="0" borderId="6" xfId="0" applyFont="1" applyBorder="1"/>
    <xf numFmtId="0" fontId="50" fillId="0" borderId="3" xfId="0" applyFont="1" applyBorder="1"/>
    <xf numFmtId="0" fontId="23" fillId="0" borderId="5" xfId="0" applyFont="1" applyBorder="1" applyAlignment="1">
      <alignmen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vertical="center" wrapText="1"/>
    </xf>
    <xf numFmtId="3" fontId="23" fillId="0" borderId="2" xfId="0" applyNumberFormat="1" applyFont="1" applyBorder="1" applyAlignment="1">
      <alignment horizontal="right" vertical="center" wrapText="1"/>
    </xf>
    <xf numFmtId="3" fontId="50" fillId="0" borderId="2" xfId="0" applyNumberFormat="1" applyFont="1" applyBorder="1" applyAlignment="1">
      <alignment horizontal="right"/>
    </xf>
    <xf numFmtId="3" fontId="50" fillId="0" borderId="2" xfId="0" applyNumberFormat="1" applyFont="1" applyBorder="1" applyAlignment="1">
      <alignment horizontal="right" vertical="center" wrapText="1"/>
    </xf>
    <xf numFmtId="0" fontId="52" fillId="0" borderId="2" xfId="0" applyFont="1" applyBorder="1" applyAlignment="1">
      <alignment vertical="center" wrapText="1"/>
    </xf>
    <xf numFmtId="3" fontId="23" fillId="0" borderId="3" xfId="0" applyNumberFormat="1" applyFont="1" applyBorder="1" applyAlignment="1">
      <alignment horizontal="right" vertical="center" wrapText="1"/>
    </xf>
    <xf numFmtId="3" fontId="23" fillId="0" borderId="18" xfId="0" applyNumberFormat="1" applyFont="1" applyBorder="1" applyAlignment="1">
      <alignment horizontal="right" vertical="center" wrapText="1"/>
    </xf>
    <xf numFmtId="0" fontId="53" fillId="0" borderId="2" xfId="0" applyFont="1" applyBorder="1" applyAlignment="1">
      <alignment horizontal="center" vertical="center" wrapText="1"/>
    </xf>
    <xf numFmtId="3" fontId="23" fillId="10" borderId="2" xfId="0" applyNumberFormat="1" applyFont="1" applyFill="1" applyBorder="1" applyAlignment="1">
      <alignment horizontal="right" vertical="center" wrapText="1"/>
    </xf>
    <xf numFmtId="3" fontId="23" fillId="10" borderId="2" xfId="0" applyNumberFormat="1" applyFont="1" applyFill="1" applyBorder="1" applyAlignment="1">
      <alignment horizontal="center" vertical="center" wrapText="1"/>
    </xf>
    <xf numFmtId="0" fontId="54" fillId="0" borderId="0" xfId="0" applyFont="1" applyAlignment="1">
      <alignment horizontal="left"/>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vertical="center" wrapText="1"/>
    </xf>
    <xf numFmtId="3" fontId="23" fillId="5" borderId="5" xfId="0" applyNumberFormat="1" applyFont="1" applyFill="1" applyBorder="1" applyAlignment="1">
      <alignment horizontal="right" wrapText="1"/>
    </xf>
    <xf numFmtId="164" fontId="18" fillId="5" borderId="5" xfId="0" applyNumberFormat="1" applyFont="1" applyFill="1" applyBorder="1" applyAlignment="1">
      <alignment horizontal="right" wrapText="1"/>
    </xf>
    <xf numFmtId="0" fontId="7" fillId="0" borderId="2" xfId="0" applyFont="1" applyBorder="1" applyAlignment="1">
      <alignment horizontal="left" vertical="center" wrapText="1"/>
    </xf>
    <xf numFmtId="3" fontId="23" fillId="5" borderId="15" xfId="0" applyNumberFormat="1" applyFont="1" applyFill="1" applyBorder="1" applyAlignment="1">
      <alignment horizontal="right" wrapText="1"/>
    </xf>
    <xf numFmtId="164" fontId="18" fillId="5" borderId="15" xfId="0" applyNumberFormat="1" applyFont="1" applyFill="1" applyBorder="1" applyAlignment="1">
      <alignment horizontal="right" wrapText="1"/>
    </xf>
    <xf numFmtId="0" fontId="55" fillId="0" borderId="2" xfId="0" applyFont="1" applyBorder="1" applyAlignment="1">
      <alignment vertical="center" wrapText="1"/>
    </xf>
    <xf numFmtId="3" fontId="21" fillId="5" borderId="15" xfId="0" applyNumberFormat="1" applyFont="1" applyFill="1" applyBorder="1" applyAlignment="1">
      <alignment horizontal="right" wrapText="1"/>
    </xf>
    <xf numFmtId="164" fontId="19" fillId="5" borderId="15" xfId="0" applyNumberFormat="1" applyFont="1" applyFill="1" applyBorder="1" applyAlignment="1">
      <alignment horizontal="right" wrapText="1"/>
    </xf>
    <xf numFmtId="3" fontId="0" fillId="0" borderId="0" xfId="0" applyNumberFormat="1" applyAlignment="1">
      <alignment wrapText="1"/>
    </xf>
    <xf numFmtId="0" fontId="0" fillId="0" borderId="7" xfId="0"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9" fontId="25" fillId="0" borderId="2" xfId="0" applyNumberFormat="1" applyFont="1" applyBorder="1" applyAlignment="1">
      <alignment horizontal="center" vertical="center"/>
    </xf>
    <xf numFmtId="0" fontId="3" fillId="0" borderId="17" xfId="0" applyFont="1" applyBorder="1" applyAlignment="1">
      <alignment vertical="center"/>
    </xf>
    <xf numFmtId="9" fontId="3" fillId="0" borderId="5" xfId="0" applyNumberFormat="1" applyFont="1" applyBorder="1" applyAlignment="1">
      <alignment horizontal="center" vertical="center"/>
    </xf>
    <xf numFmtId="9" fontId="3" fillId="0" borderId="2" xfId="0" applyNumberFormat="1" applyFont="1" applyBorder="1" applyAlignment="1">
      <alignment horizontal="center" vertical="center"/>
    </xf>
    <xf numFmtId="0" fontId="3" fillId="0" borderId="6" xfId="0" applyFont="1" applyBorder="1" applyAlignment="1">
      <alignment vertical="center"/>
    </xf>
    <xf numFmtId="0" fontId="0" fillId="0" borderId="5" xfId="0" applyBorder="1" applyAlignment="1">
      <alignment horizontal="center" vertical="center"/>
    </xf>
    <xf numFmtId="0" fontId="7" fillId="0" borderId="5" xfId="0" applyFont="1" applyBorder="1" applyAlignment="1">
      <alignment horizontal="center" vertical="center"/>
    </xf>
    <xf numFmtId="0" fontId="56" fillId="0" borderId="2" xfId="0" applyFont="1" applyBorder="1" applyAlignment="1">
      <alignment horizontal="center" vertical="center"/>
    </xf>
    <xf numFmtId="0" fontId="56" fillId="0" borderId="2" xfId="0" applyFont="1" applyBorder="1" applyAlignment="1">
      <alignment vertical="center"/>
    </xf>
    <xf numFmtId="3" fontId="57" fillId="0" borderId="5" xfId="0" applyNumberFormat="1" applyFont="1" applyBorder="1" applyAlignment="1">
      <alignment horizontal="right"/>
    </xf>
    <xf numFmtId="0" fontId="57" fillId="0" borderId="2" xfId="0" applyFont="1" applyBorder="1" applyAlignment="1">
      <alignment horizontal="right"/>
    </xf>
    <xf numFmtId="3" fontId="57" fillId="0" borderId="2" xfId="0" applyNumberFormat="1" applyFont="1" applyBorder="1" applyAlignment="1">
      <alignment horizontal="right"/>
    </xf>
    <xf numFmtId="3" fontId="56" fillId="0" borderId="2" xfId="0" applyNumberFormat="1" applyFont="1" applyBorder="1" applyAlignment="1">
      <alignment horizontal="right"/>
    </xf>
    <xf numFmtId="0" fontId="56" fillId="0" borderId="2" xfId="0" applyFont="1" applyBorder="1" applyAlignment="1">
      <alignment horizontal="right"/>
    </xf>
    <xf numFmtId="0" fontId="58" fillId="0" borderId="2" xfId="0" applyFont="1" applyBorder="1" applyAlignment="1">
      <alignment horizontal="left" vertical="center"/>
    </xf>
    <xf numFmtId="0" fontId="59" fillId="0" borderId="2" xfId="0" applyFont="1" applyBorder="1" applyAlignment="1">
      <alignment horizontal="center" vertical="center"/>
    </xf>
    <xf numFmtId="0" fontId="59" fillId="0" borderId="2" xfId="0" applyFont="1" applyBorder="1" applyAlignment="1">
      <alignment vertical="center"/>
    </xf>
    <xf numFmtId="3" fontId="59" fillId="0" borderId="5" xfId="0" applyNumberFormat="1" applyFont="1" applyBorder="1" applyAlignment="1">
      <alignment horizontal="right"/>
    </xf>
    <xf numFmtId="3" fontId="59" fillId="0" borderId="2" xfId="0" applyNumberFormat="1" applyFont="1" applyBorder="1" applyAlignment="1">
      <alignment horizontal="right"/>
    </xf>
    <xf numFmtId="0" fontId="59" fillId="0" borderId="2" xfId="0" applyFont="1" applyBorder="1" applyAlignment="1">
      <alignment horizontal="right"/>
    </xf>
    <xf numFmtId="0" fontId="0" fillId="0" borderId="0" xfId="0" applyAlignment="1">
      <alignment horizontal="center" vertical="center"/>
    </xf>
    <xf numFmtId="0" fontId="61" fillId="0" borderId="0" xfId="0" applyFont="1" applyAlignment="1">
      <alignment horizontal="center" vertical="center" wrapText="1"/>
    </xf>
    <xf numFmtId="0" fontId="61" fillId="0" borderId="0" xfId="0" applyFont="1" applyAlignment="1">
      <alignment vertical="center" wrapText="1"/>
    </xf>
    <xf numFmtId="0" fontId="62" fillId="0" borderId="0" xfId="0" applyFont="1" applyAlignment="1">
      <alignment horizontal="center" vertical="center" wrapText="1"/>
    </xf>
    <xf numFmtId="0" fontId="63" fillId="0" borderId="2" xfId="0" applyFont="1" applyBorder="1" applyAlignment="1">
      <alignment horizontal="center" vertical="center" wrapText="1"/>
    </xf>
    <xf numFmtId="0" fontId="63" fillId="0" borderId="2" xfId="0" applyFont="1" applyBorder="1" applyAlignment="1">
      <alignment vertical="center" wrapText="1"/>
    </xf>
    <xf numFmtId="0" fontId="28" fillId="0" borderId="2" xfId="0" applyFont="1" applyBorder="1" applyAlignment="1">
      <alignment horizontal="center" vertical="center" wrapText="1"/>
    </xf>
    <xf numFmtId="0" fontId="28" fillId="0" borderId="2" xfId="0" applyFont="1" applyBorder="1" applyAlignment="1">
      <alignment vertical="center" wrapText="1"/>
    </xf>
    <xf numFmtId="0" fontId="65" fillId="0" borderId="2" xfId="0" applyFont="1" applyBorder="1" applyAlignment="1">
      <alignment vertical="center" wrapText="1"/>
    </xf>
    <xf numFmtId="0" fontId="66" fillId="0" borderId="2" xfId="0" applyFont="1" applyBorder="1" applyAlignment="1">
      <alignment vertical="center" wrapText="1"/>
    </xf>
    <xf numFmtId="0" fontId="68" fillId="0" borderId="0" xfId="5" applyFont="1">
      <alignment vertical="center"/>
    </xf>
    <xf numFmtId="0" fontId="69" fillId="0" borderId="0" xfId="0" applyFont="1"/>
    <xf numFmtId="0" fontId="70" fillId="11" borderId="2" xfId="0" applyFont="1" applyFill="1" applyBorder="1" applyAlignment="1">
      <alignment vertical="center" wrapText="1"/>
    </xf>
    <xf numFmtId="0" fontId="70" fillId="0" borderId="2" xfId="0" applyFont="1" applyBorder="1" applyAlignment="1">
      <alignment vertical="center" wrapText="1"/>
    </xf>
    <xf numFmtId="0" fontId="71" fillId="0" borderId="2" xfId="0" applyFont="1" applyBorder="1" applyAlignment="1">
      <alignment horizontal="center" vertical="center" wrapText="1"/>
    </xf>
    <xf numFmtId="166" fontId="70" fillId="0" borderId="2" xfId="0" applyNumberFormat="1" applyFont="1" applyBorder="1" applyAlignment="1">
      <alignment horizontal="right" vertical="center" wrapText="1"/>
    </xf>
    <xf numFmtId="166" fontId="73" fillId="0" borderId="2" xfId="0" applyNumberFormat="1" applyFont="1" applyBorder="1" applyAlignment="1">
      <alignment horizontal="right" vertical="center" wrapText="1"/>
    </xf>
    <xf numFmtId="167" fontId="70" fillId="3" borderId="2" xfId="0" applyNumberFormat="1" applyFont="1" applyFill="1" applyBorder="1" applyAlignment="1">
      <alignment vertical="center" wrapText="1"/>
    </xf>
    <xf numFmtId="167" fontId="70" fillId="11" borderId="2" xfId="0" applyNumberFormat="1" applyFont="1" applyFill="1" applyBorder="1" applyAlignment="1">
      <alignment vertical="center" wrapText="1"/>
    </xf>
    <xf numFmtId="167" fontId="71" fillId="3" borderId="2" xfId="0" applyNumberFormat="1" applyFont="1" applyFill="1" applyBorder="1" applyAlignment="1">
      <alignment horizontal="center" vertical="center" wrapText="1"/>
    </xf>
    <xf numFmtId="167" fontId="70" fillId="0" borderId="2" xfId="0" applyNumberFormat="1" applyFont="1" applyBorder="1" applyAlignment="1">
      <alignment vertical="center" wrapText="1"/>
    </xf>
    <xf numFmtId="167" fontId="72" fillId="0" borderId="2" xfId="0" applyNumberFormat="1" applyFont="1" applyBorder="1" applyAlignment="1">
      <alignment vertical="center" wrapText="1"/>
    </xf>
    <xf numFmtId="167" fontId="72" fillId="11" borderId="2" xfId="0" applyNumberFormat="1" applyFont="1" applyFill="1" applyBorder="1" applyAlignment="1">
      <alignment vertical="center" wrapText="1"/>
    </xf>
    <xf numFmtId="167" fontId="71" fillId="0" borderId="2" xfId="0" applyNumberFormat="1" applyFont="1" applyBorder="1" applyAlignment="1">
      <alignment horizontal="center" vertical="center" wrapText="1"/>
    </xf>
    <xf numFmtId="167" fontId="70" fillId="0" borderId="2" xfId="0" applyNumberFormat="1" applyFont="1" applyBorder="1" applyAlignment="1">
      <alignment horizontal="right" vertical="center" wrapText="1"/>
    </xf>
    <xf numFmtId="167" fontId="70" fillId="11" borderId="2" xfId="0" applyNumberFormat="1" applyFont="1" applyFill="1" applyBorder="1" applyAlignment="1">
      <alignment horizontal="right" vertical="center" wrapText="1"/>
    </xf>
    <xf numFmtId="167" fontId="71" fillId="0" borderId="2" xfId="0" applyNumberFormat="1" applyFont="1" applyBorder="1" applyAlignment="1">
      <alignment horizontal="right" vertical="center" wrapText="1"/>
    </xf>
    <xf numFmtId="167" fontId="73" fillId="0" borderId="2" xfId="0" applyNumberFormat="1" applyFont="1" applyBorder="1" applyAlignment="1">
      <alignment horizontal="right" vertical="center" wrapText="1"/>
    </xf>
    <xf numFmtId="0" fontId="63" fillId="0" borderId="0" xfId="0" applyFont="1"/>
    <xf numFmtId="0" fontId="63" fillId="0" borderId="7" xfId="0" applyFont="1" applyBorder="1" applyAlignment="1">
      <alignment vertical="center" wrapText="1"/>
    </xf>
    <xf numFmtId="0" fontId="63" fillId="0" borderId="17" xfId="0" applyFont="1" applyBorder="1" applyAlignment="1">
      <alignment vertical="center" wrapText="1"/>
    </xf>
    <xf numFmtId="0" fontId="63" fillId="0" borderId="6" xfId="0" applyFont="1" applyBorder="1" applyAlignment="1">
      <alignment vertical="center" wrapText="1"/>
    </xf>
    <xf numFmtId="0" fontId="68" fillId="0" borderId="0" xfId="0" applyFont="1" applyAlignment="1">
      <alignment vertical="center"/>
    </xf>
    <xf numFmtId="0" fontId="74" fillId="0" borderId="7" xfId="0" applyFont="1" applyBorder="1"/>
    <xf numFmtId="0" fontId="70" fillId="0" borderId="2" xfId="0" applyFont="1" applyBorder="1" applyAlignment="1">
      <alignment horizontal="center" vertical="center" wrapText="1"/>
    </xf>
    <xf numFmtId="0" fontId="71" fillId="0" borderId="2" xfId="0" applyFont="1" applyBorder="1" applyAlignment="1">
      <alignment vertical="center" wrapText="1"/>
    </xf>
    <xf numFmtId="0" fontId="75" fillId="0" borderId="2" xfId="0" applyFont="1" applyBorder="1" applyAlignment="1">
      <alignment vertical="center" wrapText="1"/>
    </xf>
    <xf numFmtId="167" fontId="73" fillId="0" borderId="2" xfId="0" applyNumberFormat="1" applyFont="1" applyBorder="1" applyAlignment="1">
      <alignment vertical="center" wrapText="1"/>
    </xf>
    <xf numFmtId="0" fontId="76" fillId="0" borderId="0" xfId="0" applyFont="1"/>
    <xf numFmtId="0" fontId="74" fillId="0" borderId="0" xfId="0" applyFont="1"/>
    <xf numFmtId="0" fontId="77" fillId="0" borderId="0" xfId="0" applyFont="1" applyAlignment="1">
      <alignment horizontal="center" vertical="center"/>
    </xf>
    <xf numFmtId="0" fontId="78" fillId="0" borderId="7" xfId="0" applyFont="1" applyBorder="1" applyAlignment="1">
      <alignment horizontal="center" vertical="center" wrapText="1"/>
    </xf>
    <xf numFmtId="0" fontId="78" fillId="0" borderId="2" xfId="0" applyFont="1" applyBorder="1" applyAlignment="1">
      <alignment horizontal="center" vertical="center" wrapText="1"/>
    </xf>
    <xf numFmtId="0" fontId="79" fillId="0" borderId="10" xfId="0" applyFont="1" applyBorder="1" applyAlignment="1">
      <alignment vertical="center" wrapText="1"/>
    </xf>
    <xf numFmtId="0" fontId="78" fillId="0" borderId="17" xfId="0" applyFont="1" applyBorder="1" applyAlignment="1">
      <alignment horizontal="center" vertical="center" wrapText="1"/>
    </xf>
    <xf numFmtId="0" fontId="80" fillId="0" borderId="2" xfId="0" applyFont="1" applyBorder="1" applyAlignment="1">
      <alignment horizontal="center" vertical="center" wrapText="1"/>
    </xf>
    <xf numFmtId="0" fontId="78" fillId="0" borderId="6" xfId="0" applyFont="1" applyBorder="1" applyAlignment="1">
      <alignment horizontal="center" vertical="center" wrapText="1"/>
    </xf>
    <xf numFmtId="9" fontId="78" fillId="0" borderId="2" xfId="0" applyNumberFormat="1" applyFont="1" applyBorder="1" applyAlignment="1">
      <alignment horizontal="center" vertical="center" wrapText="1"/>
    </xf>
    <xf numFmtId="0" fontId="81" fillId="0" borderId="2" xfId="0" applyFont="1" applyBorder="1" applyAlignment="1">
      <alignment horizontal="center" vertical="center" wrapText="1"/>
    </xf>
    <xf numFmtId="0" fontId="13" fillId="0" borderId="2" xfId="0" applyFont="1" applyBorder="1" applyAlignment="1">
      <alignment vertical="center"/>
    </xf>
    <xf numFmtId="3" fontId="82" fillId="0" borderId="2" xfId="0" applyNumberFormat="1" applyFont="1" applyBorder="1" applyAlignment="1">
      <alignment wrapText="1"/>
    </xf>
    <xf numFmtId="3" fontId="82" fillId="0" borderId="5" xfId="0" applyNumberFormat="1" applyFont="1" applyBorder="1" applyAlignment="1">
      <alignment wrapText="1"/>
    </xf>
    <xf numFmtId="3" fontId="83" fillId="0" borderId="5" xfId="0" applyNumberFormat="1" applyFont="1" applyBorder="1" applyAlignment="1">
      <alignment wrapText="1"/>
    </xf>
    <xf numFmtId="0" fontId="10" fillId="0" borderId="2" xfId="0" applyFont="1" applyBorder="1" applyAlignment="1">
      <alignment horizontal="left" vertical="center"/>
    </xf>
    <xf numFmtId="3" fontId="82" fillId="0" borderId="6" xfId="0" applyNumberFormat="1" applyFont="1" applyBorder="1" applyAlignment="1">
      <alignment wrapText="1"/>
    </xf>
    <xf numFmtId="3" fontId="82" fillId="0" borderId="15" xfId="0" applyNumberFormat="1" applyFont="1" applyBorder="1" applyAlignment="1">
      <alignment wrapText="1"/>
    </xf>
    <xf numFmtId="0" fontId="84" fillId="0" borderId="2" xfId="0" applyFont="1" applyBorder="1" applyAlignment="1">
      <alignment horizontal="left" vertical="center" wrapText="1"/>
    </xf>
    <xf numFmtId="0" fontId="70" fillId="0" borderId="2" xfId="0" applyFont="1" applyBorder="1" applyAlignment="1">
      <alignment vertical="center"/>
    </xf>
    <xf numFmtId="3" fontId="83" fillId="0" borderId="6" xfId="0" applyNumberFormat="1" applyFont="1" applyBorder="1" applyAlignment="1">
      <alignment wrapText="1"/>
    </xf>
    <xf numFmtId="0" fontId="67" fillId="0" borderId="0" xfId="0" applyFont="1"/>
    <xf numFmtId="0" fontId="68" fillId="0" borderId="0" xfId="0" applyFont="1"/>
    <xf numFmtId="0" fontId="85" fillId="0" borderId="0" xfId="0" applyFont="1"/>
    <xf numFmtId="0" fontId="86" fillId="0" borderId="0" xfId="0" applyFont="1"/>
    <xf numFmtId="0" fontId="76" fillId="0" borderId="18" xfId="0" applyFont="1" applyBorder="1"/>
    <xf numFmtId="0" fontId="70" fillId="0" borderId="19" xfId="0" applyFont="1" applyBorder="1" applyAlignment="1">
      <alignment vertical="center" wrapText="1"/>
    </xf>
    <xf numFmtId="0" fontId="70" fillId="0" borderId="5" xfId="0" applyFont="1" applyBorder="1" applyAlignment="1">
      <alignment horizontal="center" vertical="center" wrapText="1"/>
    </xf>
    <xf numFmtId="0" fontId="76" fillId="0" borderId="10" xfId="0" applyFont="1" applyBorder="1"/>
    <xf numFmtId="0" fontId="70" fillId="0" borderId="15" xfId="0" applyFont="1" applyBorder="1" applyAlignment="1">
      <alignment vertical="center" wrapText="1"/>
    </xf>
    <xf numFmtId="0" fontId="84" fillId="0" borderId="38" xfId="0" applyFont="1" applyBorder="1"/>
    <xf numFmtId="0" fontId="84" fillId="0" borderId="2" xfId="0" applyFont="1" applyBorder="1" applyAlignment="1">
      <alignment horizontal="center"/>
    </xf>
    <xf numFmtId="0" fontId="70" fillId="0" borderId="2" xfId="0" applyFont="1" applyBorder="1" applyAlignment="1">
      <alignment horizontal="right" vertical="center" wrapText="1"/>
    </xf>
    <xf numFmtId="0" fontId="76" fillId="0" borderId="2" xfId="0" applyFont="1" applyBorder="1" applyAlignment="1">
      <alignment horizontal="center"/>
    </xf>
    <xf numFmtId="0" fontId="73" fillId="0" borderId="2" xfId="0" applyFont="1" applyBorder="1" applyAlignment="1">
      <alignmen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169" fontId="0" fillId="0" borderId="0" xfId="0" applyNumberFormat="1"/>
    <xf numFmtId="0" fontId="71" fillId="0" borderId="7" xfId="0" applyFont="1" applyBorder="1" applyAlignment="1">
      <alignment horizontal="center" vertical="center" wrapText="1"/>
    </xf>
    <xf numFmtId="0" fontId="71" fillId="0" borderId="20" xfId="0" applyFont="1" applyBorder="1" applyAlignment="1">
      <alignment horizontal="center" vertical="center"/>
    </xf>
    <xf numFmtId="0" fontId="71" fillId="0" borderId="6" xfId="0" applyFont="1" applyBorder="1" applyAlignment="1">
      <alignment horizontal="center" vertical="center" wrapText="1"/>
    </xf>
    <xf numFmtId="0" fontId="71" fillId="0" borderId="0" xfId="0" applyFont="1" applyAlignment="1">
      <alignment horizontal="center" vertical="center"/>
    </xf>
    <xf numFmtId="0" fontId="75" fillId="0" borderId="6" xfId="0" applyFont="1" applyBorder="1" applyAlignment="1">
      <alignment horizontal="center" vertical="center" wrapText="1"/>
    </xf>
    <xf numFmtId="168" fontId="71" fillId="2" borderId="2" xfId="1" applyNumberFormat="1" applyFont="1" applyFill="1" applyBorder="1" applyAlignment="1">
      <alignment vertical="center"/>
    </xf>
    <xf numFmtId="168" fontId="71" fillId="0" borderId="2" xfId="1" applyNumberFormat="1" applyFont="1" applyBorder="1" applyAlignment="1">
      <alignment vertical="center"/>
    </xf>
    <xf numFmtId="0" fontId="71" fillId="0" borderId="2" xfId="0" applyFont="1" applyBorder="1" applyAlignment="1">
      <alignment vertical="center"/>
    </xf>
    <xf numFmtId="0" fontId="75" fillId="0" borderId="2" xfId="0" applyFont="1" applyBorder="1" applyAlignment="1">
      <alignment horizontal="center" vertical="center" wrapText="1"/>
    </xf>
    <xf numFmtId="0" fontId="75" fillId="0" borderId="2" xfId="0" applyFont="1" applyBorder="1" applyAlignment="1">
      <alignment vertical="center"/>
    </xf>
    <xf numFmtId="0" fontId="71" fillId="2" borderId="2" xfId="0" applyFont="1" applyFill="1" applyBorder="1" applyAlignment="1">
      <alignment vertical="center"/>
    </xf>
    <xf numFmtId="0" fontId="41" fillId="0" borderId="0" xfId="0" applyFont="1"/>
    <xf numFmtId="0" fontId="5" fillId="0" borderId="0" xfId="0" applyFont="1"/>
    <xf numFmtId="0" fontId="5" fillId="0" borderId="0" xfId="0" applyFont="1" applyAlignment="1">
      <alignment vertical="center" wrapText="1"/>
    </xf>
    <xf numFmtId="0" fontId="18" fillId="0" borderId="6" xfId="0" applyFont="1" applyBorder="1" applyAlignment="1">
      <alignment horizontal="center" vertical="center" wrapText="1"/>
    </xf>
    <xf numFmtId="0" fontId="18" fillId="0" borderId="2" xfId="0" applyFont="1" applyBorder="1" applyAlignment="1">
      <alignment vertical="center" wrapText="1"/>
    </xf>
    <xf numFmtId="3" fontId="7" fillId="0" borderId="2" xfId="0" quotePrefix="1" applyNumberFormat="1" applyFont="1" applyBorder="1"/>
    <xf numFmtId="3" fontId="7" fillId="0" borderId="2" xfId="0" quotePrefix="1" applyNumberFormat="1" applyFont="1" applyBorder="1" applyAlignment="1">
      <alignment horizontal="right"/>
    </xf>
    <xf numFmtId="3" fontId="0" fillId="0" borderId="2" xfId="0" quotePrefix="1" applyNumberFormat="1" applyBorder="1" applyAlignment="1">
      <alignment horizontal="right" wrapText="1"/>
    </xf>
    <xf numFmtId="0" fontId="7" fillId="0" borderId="2" xfId="0" applyFont="1" applyBorder="1" applyAlignment="1">
      <alignment vertical="center" wrapText="1"/>
    </xf>
    <xf numFmtId="3" fontId="2" fillId="0" borderId="2" xfId="0" quotePrefix="1" applyNumberFormat="1" applyFont="1" applyBorder="1" applyAlignment="1">
      <alignment horizontal="right" wrapText="1"/>
    </xf>
    <xf numFmtId="3" fontId="7" fillId="0" borderId="2" xfId="0" quotePrefix="1" applyNumberFormat="1" applyFont="1" applyBorder="1" applyAlignment="1">
      <alignment horizontal="right" wrapText="1"/>
    </xf>
    <xf numFmtId="3" fontId="0" fillId="0" borderId="2" xfId="0" applyNumberFormat="1" applyBorder="1" applyAlignment="1">
      <alignment horizontal="right"/>
    </xf>
    <xf numFmtId="3" fontId="0" fillId="0" borderId="2" xfId="0" quotePrefix="1" applyNumberFormat="1" applyBorder="1" applyAlignment="1">
      <alignment horizontal="right"/>
    </xf>
    <xf numFmtId="0" fontId="3" fillId="0" borderId="2" xfId="0" applyFont="1" applyBorder="1" applyAlignment="1">
      <alignment vertical="center" wrapText="1"/>
    </xf>
    <xf numFmtId="3" fontId="3" fillId="0" borderId="2" xfId="0" quotePrefix="1" applyNumberFormat="1" applyFont="1" applyBorder="1" applyAlignment="1">
      <alignment horizontal="right"/>
    </xf>
    <xf numFmtId="0" fontId="0" fillId="0" borderId="0" xfId="0" applyAlignment="1">
      <alignment horizontal="center"/>
    </xf>
    <xf numFmtId="0" fontId="0" fillId="0" borderId="3" xfId="0" applyBorder="1" applyAlignment="1">
      <alignment horizontal="center"/>
    </xf>
    <xf numFmtId="3" fontId="0" fillId="0" borderId="2" xfId="0" quotePrefix="1" applyNumberFormat="1" applyBorder="1"/>
    <xf numFmtId="3" fontId="0" fillId="0" borderId="2" xfId="0" applyNumberFormat="1" applyBorder="1"/>
    <xf numFmtId="0" fontId="7" fillId="3" borderId="2" xfId="0" applyFont="1" applyFill="1" applyBorder="1" applyAlignment="1">
      <alignment horizontal="center" vertical="center" wrapText="1"/>
    </xf>
    <xf numFmtId="0" fontId="0" fillId="0" borderId="2" xfId="0" quotePrefix="1" applyBorder="1" applyAlignment="1">
      <alignment horizontal="right"/>
    </xf>
    <xf numFmtId="0" fontId="7" fillId="0" borderId="2" xfId="5" applyFont="1" applyBorder="1" applyAlignment="1">
      <alignment vertical="center" wrapText="1"/>
    </xf>
    <xf numFmtId="0" fontId="2" fillId="0" borderId="2" xfId="0" quotePrefix="1" applyFont="1" applyBorder="1" applyAlignment="1">
      <alignment horizontal="right"/>
    </xf>
    <xf numFmtId="0" fontId="7" fillId="12" borderId="2" xfId="0" applyFont="1" applyFill="1" applyBorder="1" applyAlignment="1">
      <alignment horizontal="center"/>
    </xf>
    <xf numFmtId="0" fontId="25" fillId="12" borderId="2" xfId="0" quotePrefix="1" applyFont="1" applyFill="1" applyBorder="1" applyAlignment="1">
      <alignment wrapText="1"/>
    </xf>
    <xf numFmtId="3" fontId="3" fillId="12" borderId="2" xfId="0" applyNumberFormat="1" applyFont="1" applyFill="1" applyBorder="1" applyAlignment="1">
      <alignment wrapText="1"/>
    </xf>
    <xf numFmtId="0" fontId="18" fillId="3" borderId="2" xfId="0" applyFont="1" applyFill="1" applyBorder="1" applyAlignment="1">
      <alignment vertical="center" wrapText="1"/>
    </xf>
    <xf numFmtId="0" fontId="7" fillId="0" borderId="2" xfId="0" applyFont="1" applyBorder="1" applyAlignment="1">
      <alignment horizontal="justify" vertical="top"/>
    </xf>
    <xf numFmtId="0" fontId="7" fillId="0" borderId="2" xfId="0" quotePrefix="1" applyFont="1" applyBorder="1" applyAlignment="1">
      <alignment horizontal="right"/>
    </xf>
    <xf numFmtId="0" fontId="7" fillId="0" borderId="2" xfId="5" applyFont="1" applyBorder="1" applyAlignment="1">
      <alignment horizontal="justify" vertical="top"/>
    </xf>
    <xf numFmtId="0" fontId="18" fillId="3" borderId="2" xfId="0" applyFont="1" applyFill="1" applyBorder="1" applyAlignment="1">
      <alignment horizontal="center" vertical="center" wrapText="1"/>
    </xf>
    <xf numFmtId="0" fontId="18" fillId="0" borderId="2" xfId="0" applyFont="1" applyBorder="1" applyAlignment="1">
      <alignment horizontal="left" vertical="center" wrapText="1" indent="1"/>
    </xf>
    <xf numFmtId="0" fontId="7" fillId="0" borderId="2" xfId="0" applyFont="1" applyBorder="1" applyAlignment="1">
      <alignment horizontal="left" vertical="center" wrapText="1" indent="1"/>
    </xf>
    <xf numFmtId="0" fontId="0" fillId="0" borderId="2" xfId="0" applyBorder="1" applyAlignment="1">
      <alignment horizontal="left" vertical="center" wrapText="1" indent="1"/>
    </xf>
    <xf numFmtId="0" fontId="0" fillId="12" borderId="2" xfId="0" applyFill="1" applyBorder="1" applyAlignment="1">
      <alignment horizontal="center" vertical="center"/>
    </xf>
    <xf numFmtId="0" fontId="3" fillId="12" borderId="2" xfId="0" applyFont="1" applyFill="1" applyBorder="1" applyAlignment="1">
      <alignment horizontal="justify" vertical="top" wrapText="1"/>
    </xf>
    <xf numFmtId="0" fontId="3" fillId="12" borderId="2" xfId="0" applyFont="1" applyFill="1" applyBorder="1" applyAlignment="1">
      <alignment horizontal="justify" vertical="top"/>
    </xf>
    <xf numFmtId="3" fontId="3" fillId="12" borderId="2" xfId="0" quotePrefix="1" applyNumberFormat="1" applyFont="1" applyFill="1" applyBorder="1" applyAlignment="1">
      <alignment wrapText="1"/>
    </xf>
    <xf numFmtId="0" fontId="7" fillId="0" borderId="2" xfId="0" applyFont="1" applyBorder="1" applyAlignment="1">
      <alignment horizontal="justify" vertical="center"/>
    </xf>
    <xf numFmtId="0" fontId="7" fillId="0" borderId="2" xfId="0" applyFont="1" applyBorder="1" applyAlignment="1">
      <alignment horizontal="justify" vertical="top" wrapText="1"/>
    </xf>
    <xf numFmtId="0" fontId="7" fillId="12" borderId="2" xfId="5" applyFont="1" applyFill="1" applyBorder="1" applyAlignment="1">
      <alignment horizontal="justify" vertical="center"/>
    </xf>
    <xf numFmtId="0" fontId="0" fillId="12" borderId="2" xfId="5" applyFont="1" applyFill="1" applyBorder="1" applyAlignment="1">
      <alignment horizontal="justify" vertical="top"/>
    </xf>
    <xf numFmtId="0" fontId="25" fillId="0" borderId="2" xfId="0" applyFont="1" applyBorder="1" applyAlignment="1">
      <alignment vertical="center"/>
    </xf>
    <xf numFmtId="3" fontId="3" fillId="0" borderId="2" xfId="0" applyNumberFormat="1" applyFont="1" applyBorder="1" applyAlignment="1">
      <alignment horizontal="right"/>
    </xf>
    <xf numFmtId="0" fontId="7" fillId="12" borderId="2" xfId="0" applyFont="1" applyFill="1" applyBorder="1" applyAlignment="1">
      <alignment horizontal="center" vertical="center"/>
    </xf>
    <xf numFmtId="0" fontId="3" fillId="12" borderId="2" xfId="0" applyFont="1" applyFill="1" applyBorder="1" applyAlignment="1">
      <alignment horizontal="justify" vertical="center"/>
    </xf>
    <xf numFmtId="3" fontId="25" fillId="12" borderId="2" xfId="0" applyNumberFormat="1" applyFont="1" applyFill="1" applyBorder="1" applyAlignment="1">
      <alignment horizontal="right" vertical="top"/>
    </xf>
    <xf numFmtId="164" fontId="7" fillId="0" borderId="2" xfId="2" quotePrefix="1" applyNumberFormat="1" applyFont="1" applyBorder="1" applyAlignment="1">
      <alignment wrapText="1"/>
    </xf>
    <xf numFmtId="164" fontId="7" fillId="0" borderId="2" xfId="2" applyNumberFormat="1" applyFont="1" applyBorder="1"/>
    <xf numFmtId="164" fontId="7" fillId="0" borderId="2" xfId="2" quotePrefix="1" applyNumberFormat="1" applyFont="1" applyBorder="1"/>
    <xf numFmtId="0" fontId="7" fillId="0" borderId="2" xfId="0" quotePrefix="1" applyFont="1" applyBorder="1" applyAlignment="1">
      <alignment horizontal="right" wrapText="1"/>
    </xf>
    <xf numFmtId="0" fontId="7" fillId="0" borderId="2" xfId="0" applyFont="1" applyBorder="1"/>
    <xf numFmtId="164" fontId="7" fillId="0" borderId="2" xfId="0" applyNumberFormat="1" applyFont="1" applyBorder="1"/>
    <xf numFmtId="0" fontId="60" fillId="0" borderId="0" xfId="0" applyFont="1" applyAlignment="1">
      <alignment vertical="center"/>
    </xf>
    <xf numFmtId="0" fontId="63" fillId="0" borderId="0" xfId="0" applyFont="1" applyAlignment="1">
      <alignment vertical="center"/>
    </xf>
    <xf numFmtId="0" fontId="54" fillId="0" borderId="0" xfId="0" applyFont="1" applyAlignment="1">
      <alignment vertical="center"/>
    </xf>
    <xf numFmtId="0" fontId="70" fillId="0" borderId="3" xfId="0" applyFont="1" applyBorder="1"/>
    <xf numFmtId="0" fontId="70" fillId="0" borderId="5" xfId="0" applyFont="1" applyBorder="1" applyAlignment="1">
      <alignment horizontal="center"/>
    </xf>
    <xf numFmtId="0" fontId="70" fillId="0" borderId="2" xfId="0" applyFont="1" applyBorder="1" applyAlignment="1">
      <alignment horizontal="center" vertical="center"/>
    </xf>
    <xf numFmtId="0" fontId="70" fillId="0" borderId="2" xfId="0" applyFont="1" applyBorder="1" applyAlignment="1">
      <alignment wrapText="1"/>
    </xf>
    <xf numFmtId="0" fontId="87" fillId="0" borderId="2" xfId="0" applyFont="1" applyBorder="1" applyAlignment="1">
      <alignment vertical="center" wrapText="1"/>
    </xf>
    <xf numFmtId="0" fontId="87" fillId="0" borderId="2" xfId="0" applyFont="1" applyBorder="1" applyAlignment="1">
      <alignment horizontal="center" vertical="center" wrapText="1"/>
    </xf>
    <xf numFmtId="0" fontId="88" fillId="0" borderId="2" xfId="0" applyFont="1" applyBorder="1" applyAlignment="1">
      <alignment horizontal="justify" vertical="center" wrapText="1"/>
    </xf>
    <xf numFmtId="0" fontId="87" fillId="12" borderId="2" xfId="0" applyFont="1" applyFill="1" applyBorder="1" applyAlignment="1">
      <alignment vertical="center"/>
    </xf>
    <xf numFmtId="0" fontId="70" fillId="0" borderId="2" xfId="0" applyFont="1" applyBorder="1" applyAlignment="1">
      <alignment horizontal="center" wrapText="1"/>
    </xf>
    <xf numFmtId="0" fontId="87" fillId="0" borderId="2" xfId="0" applyFont="1" applyBorder="1" applyAlignment="1">
      <alignment horizontal="left" vertical="center" wrapText="1" indent="3"/>
    </xf>
    <xf numFmtId="3" fontId="87" fillId="0" borderId="2" xfId="0" applyNumberFormat="1" applyFont="1" applyBorder="1" applyAlignment="1">
      <alignment vertical="center"/>
    </xf>
    <xf numFmtId="0" fontId="88" fillId="0" borderId="2" xfId="0" applyFont="1" applyBorder="1" applyAlignment="1">
      <alignment vertical="center" wrapText="1"/>
    </xf>
    <xf numFmtId="3" fontId="87" fillId="12" borderId="2" xfId="0" applyNumberFormat="1" applyFont="1" applyFill="1" applyBorder="1" applyAlignment="1">
      <alignment vertical="center"/>
    </xf>
    <xf numFmtId="0" fontId="87" fillId="0" borderId="2" xfId="0" applyFont="1" applyBorder="1" applyAlignment="1">
      <alignment horizontal="left" vertical="center" wrapText="1" indent="2"/>
    </xf>
    <xf numFmtId="0" fontId="6" fillId="0" borderId="0" xfId="0" applyFont="1" applyAlignment="1">
      <alignment horizontal="left" vertical="center"/>
    </xf>
    <xf numFmtId="0" fontId="0" fillId="0" borderId="0" xfId="0" applyAlignment="1">
      <alignment horizontal="left" vertical="center"/>
    </xf>
    <xf numFmtId="0" fontId="89" fillId="0" borderId="0" xfId="0" applyFont="1" applyAlignment="1">
      <alignment horizontal="left" vertical="center"/>
    </xf>
    <xf numFmtId="49" fontId="7" fillId="0" borderId="2" xfId="6" applyNumberFormat="1" applyFont="1" applyBorder="1" applyAlignment="1">
      <alignment horizontal="center" vertical="center" wrapText="1"/>
    </xf>
    <xf numFmtId="0" fontId="7" fillId="0" borderId="2" xfId="6" applyFont="1" applyBorder="1" applyAlignment="1">
      <alignment horizontal="center" vertical="center" wrapText="1"/>
    </xf>
    <xf numFmtId="0" fontId="7" fillId="0" borderId="2" xfId="6" applyFont="1" applyBorder="1" applyAlignment="1">
      <alignment horizontal="left" vertical="center" wrapText="1"/>
    </xf>
    <xf numFmtId="166" fontId="7" fillId="0" borderId="2" xfId="6" applyNumberFormat="1" applyFont="1" applyBorder="1" applyAlignment="1">
      <alignment horizontal="right" vertical="center" wrapText="1"/>
    </xf>
    <xf numFmtId="0" fontId="7" fillId="0" borderId="2" xfId="6" applyFont="1" applyBorder="1" applyAlignment="1">
      <alignment vertical="center" wrapText="1"/>
    </xf>
    <xf numFmtId="0" fontId="7" fillId="12" borderId="2" xfId="6" applyFont="1" applyFill="1" applyBorder="1" applyAlignment="1">
      <alignment horizontal="center" vertical="center" wrapText="1"/>
    </xf>
    <xf numFmtId="0" fontId="7" fillId="0" borderId="2" xfId="6" quotePrefix="1" applyFont="1" applyBorder="1" applyAlignment="1">
      <alignment horizontal="center" vertical="center" wrapText="1"/>
    </xf>
    <xf numFmtId="165" fontId="0" fillId="0" borderId="0" xfId="0" applyNumberFormat="1"/>
    <xf numFmtId="0" fontId="90" fillId="0" borderId="0" xfId="0" applyFont="1" applyAlignment="1">
      <alignment vertical="center"/>
    </xf>
    <xf numFmtId="0" fontId="0" fillId="0" borderId="0" xfId="0" applyAlignment="1">
      <alignment vertical="center"/>
    </xf>
    <xf numFmtId="165" fontId="0" fillId="0" borderId="0" xfId="0" applyNumberFormat="1" applyAlignment="1">
      <alignment vertical="center"/>
    </xf>
    <xf numFmtId="165" fontId="0" fillId="0" borderId="21" xfId="0" applyNumberFormat="1" applyBorder="1" applyAlignment="1">
      <alignment horizontal="center" vertical="center" wrapText="1"/>
    </xf>
    <xf numFmtId="165" fontId="0" fillId="0" borderId="37" xfId="0" applyNumberFormat="1" applyBorder="1" applyAlignment="1">
      <alignment horizontal="center" vertical="center" wrapText="1"/>
    </xf>
    <xf numFmtId="165" fontId="0" fillId="0" borderId="22" xfId="0" applyNumberFormat="1" applyBorder="1" applyAlignment="1">
      <alignment horizontal="center" vertical="center" wrapText="1"/>
    </xf>
    <xf numFmtId="165" fontId="0" fillId="0" borderId="41" xfId="0" applyNumberFormat="1" applyBorder="1" applyAlignment="1">
      <alignment horizontal="center" vertical="center"/>
    </xf>
    <xf numFmtId="165" fontId="33" fillId="0" borderId="29" xfId="0" applyNumberFormat="1" applyFont="1" applyBorder="1" applyAlignment="1">
      <alignment horizontal="center" vertical="center" wrapText="1"/>
    </xf>
    <xf numFmtId="165" fontId="33" fillId="0" borderId="23" xfId="0" applyNumberFormat="1" applyFont="1" applyBorder="1" applyAlignment="1">
      <alignment horizontal="center" vertical="center" wrapText="1"/>
    </xf>
    <xf numFmtId="0" fontId="93" fillId="13" borderId="21" xfId="0" applyFont="1" applyFill="1" applyBorder="1" applyAlignment="1">
      <alignment vertical="center"/>
    </xf>
    <xf numFmtId="0" fontId="93" fillId="13" borderId="24" xfId="0" applyFont="1" applyFill="1" applyBorder="1" applyAlignment="1">
      <alignment vertical="center"/>
    </xf>
    <xf numFmtId="165" fontId="93" fillId="13" borderId="24" xfId="0" applyNumberFormat="1" applyFont="1" applyFill="1" applyBorder="1" applyAlignment="1">
      <alignment vertical="center"/>
    </xf>
    <xf numFmtId="165" fontId="93" fillId="13" borderId="24" xfId="0" applyNumberFormat="1" applyFont="1" applyFill="1" applyBorder="1" applyAlignment="1">
      <alignment horizontal="center" vertical="center"/>
    </xf>
    <xf numFmtId="165" fontId="93" fillId="13" borderId="25" xfId="0" applyNumberFormat="1" applyFont="1" applyFill="1" applyBorder="1" applyAlignment="1">
      <alignment vertical="center"/>
    </xf>
    <xf numFmtId="0" fontId="33" fillId="12" borderId="34" xfId="0" applyFont="1" applyFill="1" applyBorder="1" applyAlignment="1">
      <alignment horizontal="center" vertical="center" wrapText="1"/>
    </xf>
    <xf numFmtId="0" fontId="33" fillId="12" borderId="35" xfId="0" applyFont="1" applyFill="1" applyBorder="1" applyAlignment="1">
      <alignment vertical="center" wrapText="1"/>
    </xf>
    <xf numFmtId="165" fontId="94" fillId="12" borderId="21" xfId="0" applyNumberFormat="1" applyFont="1" applyFill="1" applyBorder="1" applyAlignment="1">
      <alignment vertical="top" wrapText="1"/>
    </xf>
    <xf numFmtId="165" fontId="94" fillId="12" borderId="21" xfId="0" applyNumberFormat="1" applyFont="1" applyFill="1" applyBorder="1" applyAlignment="1">
      <alignment vertical="center" wrapText="1"/>
    </xf>
    <xf numFmtId="165" fontId="94" fillId="12" borderId="37" xfId="0" applyNumberFormat="1" applyFont="1" applyFill="1" applyBorder="1" applyAlignment="1">
      <alignment vertical="center" wrapText="1"/>
    </xf>
    <xf numFmtId="165" fontId="94" fillId="12" borderId="35" xfId="0" applyNumberFormat="1" applyFont="1" applyFill="1" applyBorder="1" applyAlignment="1">
      <alignment horizontal="center" vertical="center"/>
    </xf>
    <xf numFmtId="165" fontId="94" fillId="12" borderId="45" xfId="0" applyNumberFormat="1" applyFont="1" applyFill="1" applyBorder="1" applyAlignment="1">
      <alignment horizontal="center" vertical="center"/>
    </xf>
    <xf numFmtId="0" fontId="33" fillId="0" borderId="34" xfId="0" applyFont="1" applyBorder="1" applyAlignment="1">
      <alignment horizontal="center" vertical="center"/>
    </xf>
    <xf numFmtId="0" fontId="92" fillId="0" borderId="35" xfId="0" applyFont="1" applyBorder="1" applyAlignment="1">
      <alignment horizontal="left" vertical="center" wrapText="1" indent="2"/>
    </xf>
    <xf numFmtId="165" fontId="33" fillId="0" borderId="21" xfId="0" applyNumberFormat="1" applyFont="1" applyBorder="1" applyAlignment="1">
      <alignment vertical="center"/>
    </xf>
    <xf numFmtId="165" fontId="33" fillId="0" borderId="37" xfId="0" applyNumberFormat="1" applyFont="1" applyBorder="1" applyAlignment="1">
      <alignment vertical="center"/>
    </xf>
    <xf numFmtId="165" fontId="33" fillId="0" borderId="35" xfId="0" applyNumberFormat="1" applyFont="1" applyBorder="1" applyAlignment="1">
      <alignment horizontal="center" vertical="center" wrapText="1"/>
    </xf>
    <xf numFmtId="165" fontId="33" fillId="0" borderId="45" xfId="0" applyNumberFormat="1" applyFont="1" applyBorder="1" applyAlignment="1">
      <alignment horizontal="center" vertical="center" wrapText="1"/>
    </xf>
    <xf numFmtId="165" fontId="92" fillId="14" borderId="21" xfId="0" applyNumberFormat="1" applyFont="1" applyFill="1" applyBorder="1" applyAlignment="1">
      <alignment vertical="center" wrapText="1"/>
    </xf>
    <xf numFmtId="0" fontId="33" fillId="12" borderId="34" xfId="0" applyFont="1" applyFill="1" applyBorder="1" applyAlignment="1">
      <alignment horizontal="center" vertical="center"/>
    </xf>
    <xf numFmtId="165" fontId="94" fillId="12" borderId="35" xfId="0" applyNumberFormat="1" applyFont="1" applyFill="1" applyBorder="1" applyAlignment="1">
      <alignment horizontal="center" vertical="center" wrapText="1"/>
    </xf>
    <xf numFmtId="165" fontId="94" fillId="12" borderId="45" xfId="0" applyNumberFormat="1" applyFont="1" applyFill="1" applyBorder="1" applyAlignment="1">
      <alignment horizontal="center" vertical="center" wrapText="1"/>
    </xf>
    <xf numFmtId="165" fontId="33" fillId="0" borderId="21" xfId="0" applyNumberFormat="1" applyFont="1" applyBorder="1" applyAlignment="1">
      <alignment vertical="center" wrapText="1"/>
    </xf>
    <xf numFmtId="165" fontId="33" fillId="0" borderId="37" xfId="0" applyNumberFormat="1" applyFont="1" applyBorder="1" applyAlignment="1">
      <alignment vertical="center" wrapText="1"/>
    </xf>
    <xf numFmtId="165" fontId="33" fillId="7" borderId="21" xfId="0" applyNumberFormat="1" applyFont="1" applyFill="1" applyBorder="1" applyAlignment="1">
      <alignment vertical="center" wrapText="1"/>
    </xf>
    <xf numFmtId="0" fontId="92" fillId="0" borderId="46" xfId="0" applyFont="1" applyBorder="1" applyAlignment="1">
      <alignment horizontal="left" vertical="center" wrapText="1" indent="2"/>
    </xf>
    <xf numFmtId="165" fontId="92" fillId="14" borderId="37" xfId="0" applyNumberFormat="1" applyFont="1" applyFill="1" applyBorder="1" applyAlignment="1">
      <alignment vertical="center" wrapText="1"/>
    </xf>
    <xf numFmtId="165" fontId="92" fillId="14" borderId="35" xfId="0" applyNumberFormat="1" applyFont="1" applyFill="1" applyBorder="1" applyAlignment="1">
      <alignment vertical="center" wrapText="1"/>
    </xf>
    <xf numFmtId="165" fontId="33" fillId="15" borderId="45" xfId="0" applyNumberFormat="1" applyFont="1" applyFill="1" applyBorder="1" applyAlignment="1">
      <alignment horizontal="center" vertical="center" wrapText="1"/>
    </xf>
    <xf numFmtId="0" fontId="94" fillId="0" borderId="34" xfId="0" applyFont="1" applyBorder="1" applyAlignment="1">
      <alignment horizontal="center" vertical="center"/>
    </xf>
    <xf numFmtId="0" fontId="94" fillId="0" borderId="35" xfId="0" applyFont="1" applyBorder="1" applyAlignment="1">
      <alignment vertical="center" wrapText="1"/>
    </xf>
    <xf numFmtId="165" fontId="33" fillId="14" borderId="21" xfId="0" applyNumberFormat="1" applyFont="1" applyFill="1" applyBorder="1" applyAlignment="1">
      <alignment vertical="center"/>
    </xf>
    <xf numFmtId="165" fontId="33" fillId="14" borderId="37" xfId="0" applyNumberFormat="1" applyFont="1" applyFill="1" applyBorder="1" applyAlignment="1">
      <alignment vertical="center"/>
    </xf>
    <xf numFmtId="165" fontId="33" fillId="14" borderId="35" xfId="0" applyNumberFormat="1" applyFont="1" applyFill="1" applyBorder="1" applyAlignment="1">
      <alignment vertical="center"/>
    </xf>
    <xf numFmtId="165" fontId="94" fillId="0" borderId="45" xfId="0" applyNumberFormat="1" applyFont="1" applyBorder="1" applyAlignment="1">
      <alignment horizontal="center" vertical="center"/>
    </xf>
    <xf numFmtId="165" fontId="33" fillId="14" borderId="21" xfId="0" applyNumberFormat="1" applyFont="1" applyFill="1" applyBorder="1" applyAlignment="1">
      <alignment vertical="center" wrapText="1"/>
    </xf>
    <xf numFmtId="165" fontId="94" fillId="14" borderId="21" xfId="0" applyNumberFormat="1" applyFont="1" applyFill="1" applyBorder="1" applyAlignment="1">
      <alignment vertical="center" wrapText="1"/>
    </xf>
    <xf numFmtId="165" fontId="94" fillId="14" borderId="37" xfId="0" applyNumberFormat="1" applyFont="1" applyFill="1" applyBorder="1" applyAlignment="1">
      <alignment vertical="center" wrapText="1"/>
    </xf>
    <xf numFmtId="165" fontId="94" fillId="14" borderId="37" xfId="0" applyNumberFormat="1" applyFont="1" applyFill="1" applyBorder="1" applyAlignment="1">
      <alignment horizontal="center" vertical="center" wrapText="1"/>
    </xf>
    <xf numFmtId="165" fontId="94" fillId="16" borderId="45" xfId="0" applyNumberFormat="1" applyFont="1" applyFill="1" applyBorder="1" applyAlignment="1">
      <alignment horizontal="center" vertical="center" wrapText="1"/>
    </xf>
    <xf numFmtId="165" fontId="33" fillId="14" borderId="21" xfId="0" applyNumberFormat="1" applyFont="1" applyFill="1" applyBorder="1" applyAlignment="1">
      <alignment horizontal="center" vertical="center" wrapText="1"/>
    </xf>
    <xf numFmtId="165" fontId="94" fillId="12" borderId="37" xfId="0" applyNumberFormat="1" applyFont="1" applyFill="1" applyBorder="1" applyAlignment="1">
      <alignment horizontal="center" vertical="center" wrapText="1"/>
    </xf>
    <xf numFmtId="0" fontId="95" fillId="0" borderId="35" xfId="0" applyFont="1" applyBorder="1" applyAlignment="1">
      <alignment horizontal="left" vertical="center" wrapText="1" indent="2"/>
    </xf>
    <xf numFmtId="165" fontId="33" fillId="0" borderId="37" xfId="0" applyNumberFormat="1" applyFont="1" applyBorder="1" applyAlignment="1">
      <alignment horizontal="center" vertical="center" wrapText="1"/>
    </xf>
    <xf numFmtId="0" fontId="92" fillId="0" borderId="35" xfId="0" applyFont="1" applyBorder="1" applyAlignment="1">
      <alignment horizontal="left" vertical="center" wrapText="1" indent="4"/>
    </xf>
    <xf numFmtId="165" fontId="94" fillId="12" borderId="21" xfId="0" quotePrefix="1" applyNumberFormat="1" applyFont="1" applyFill="1" applyBorder="1" applyAlignment="1">
      <alignment vertical="center" wrapText="1"/>
    </xf>
    <xf numFmtId="165" fontId="94" fillId="12" borderId="37" xfId="0" quotePrefix="1" applyNumberFormat="1" applyFont="1" applyFill="1" applyBorder="1" applyAlignment="1">
      <alignment vertical="center" wrapText="1"/>
    </xf>
    <xf numFmtId="165" fontId="94" fillId="12" borderId="37" xfId="0" quotePrefix="1" applyNumberFormat="1" applyFont="1" applyFill="1" applyBorder="1" applyAlignment="1">
      <alignment horizontal="center" vertical="center" wrapText="1"/>
    </xf>
    <xf numFmtId="165" fontId="94" fillId="12" borderId="35" xfId="0" quotePrefix="1" applyNumberFormat="1" applyFont="1" applyFill="1" applyBorder="1" applyAlignment="1">
      <alignment horizontal="center" vertical="center" wrapText="1"/>
    </xf>
    <xf numFmtId="165" fontId="33" fillId="14" borderId="23" xfId="0" applyNumberFormat="1" applyFont="1" applyFill="1" applyBorder="1" applyAlignment="1">
      <alignment vertical="center" wrapText="1"/>
    </xf>
    <xf numFmtId="165" fontId="33" fillId="7" borderId="45" xfId="0" applyNumberFormat="1" applyFont="1" applyFill="1" applyBorder="1" applyAlignment="1">
      <alignment horizontal="center" vertical="center" wrapText="1"/>
    </xf>
    <xf numFmtId="165" fontId="33" fillId="0" borderId="47" xfId="0" applyNumberFormat="1" applyFont="1" applyBorder="1" applyAlignment="1">
      <alignment vertical="center" wrapText="1"/>
    </xf>
    <xf numFmtId="165" fontId="33" fillId="0" borderId="41" xfId="0" applyNumberFormat="1" applyFont="1" applyBorder="1" applyAlignment="1">
      <alignment vertical="center" wrapText="1"/>
    </xf>
    <xf numFmtId="165" fontId="33" fillId="15" borderId="21" xfId="0" applyNumberFormat="1" applyFont="1" applyFill="1" applyBorder="1" applyAlignment="1">
      <alignment vertical="center" wrapText="1"/>
    </xf>
    <xf numFmtId="165" fontId="33" fillId="14" borderId="48" xfId="0" applyNumberFormat="1" applyFont="1" applyFill="1" applyBorder="1" applyAlignment="1">
      <alignment vertical="center" wrapText="1"/>
    </xf>
    <xf numFmtId="165" fontId="96" fillId="7" borderId="21" xfId="0" applyNumberFormat="1" applyFont="1" applyFill="1" applyBorder="1" applyAlignment="1">
      <alignment vertical="center" wrapText="1"/>
    </xf>
    <xf numFmtId="165" fontId="96" fillId="7" borderId="37" xfId="0" applyNumberFormat="1" applyFont="1" applyFill="1" applyBorder="1" applyAlignment="1">
      <alignment vertical="center" wrapText="1"/>
    </xf>
    <xf numFmtId="165" fontId="94" fillId="7" borderId="21" xfId="0" applyNumberFormat="1" applyFont="1" applyFill="1" applyBorder="1" applyAlignment="1">
      <alignment vertical="center" wrapText="1"/>
    </xf>
    <xf numFmtId="165" fontId="94" fillId="7" borderId="37" xfId="0" applyNumberFormat="1" applyFont="1" applyFill="1" applyBorder="1" applyAlignment="1">
      <alignment vertical="center" wrapText="1"/>
    </xf>
    <xf numFmtId="165" fontId="94" fillId="7" borderId="37" xfId="0" applyNumberFormat="1" applyFont="1" applyFill="1" applyBorder="1" applyAlignment="1">
      <alignment horizontal="center" vertical="center" wrapText="1"/>
    </xf>
    <xf numFmtId="165" fontId="94" fillId="7" borderId="45" xfId="0" quotePrefix="1" applyNumberFormat="1" applyFont="1" applyFill="1" applyBorder="1" applyAlignment="1">
      <alignment horizontal="center" vertical="center"/>
    </xf>
    <xf numFmtId="165" fontId="33" fillId="14" borderId="37" xfId="0" applyNumberFormat="1" applyFont="1" applyFill="1" applyBorder="1" applyAlignment="1">
      <alignment horizontal="center" vertical="center"/>
    </xf>
    <xf numFmtId="0" fontId="94" fillId="0" borderId="22" xfId="0" applyFont="1" applyBorder="1" applyAlignment="1">
      <alignment vertical="center" wrapText="1"/>
    </xf>
    <xf numFmtId="10" fontId="94" fillId="0" borderId="22" xfId="0" applyNumberFormat="1" applyFont="1" applyBorder="1" applyAlignment="1">
      <alignment vertical="center"/>
    </xf>
    <xf numFmtId="0" fontId="97" fillId="0" borderId="0" xfId="0" applyFont="1"/>
    <xf numFmtId="0" fontId="97" fillId="0" borderId="0" xfId="0" applyFont="1" applyAlignment="1">
      <alignment horizontal="right"/>
    </xf>
    <xf numFmtId="4" fontId="0" fillId="0" borderId="0" xfId="0" applyNumberFormat="1"/>
    <xf numFmtId="0" fontId="4" fillId="13" borderId="0" xfId="0" applyFont="1" applyFill="1" applyAlignment="1">
      <alignment horizontal="right"/>
    </xf>
    <xf numFmtId="0" fontId="53" fillId="17" borderId="0" xfId="7" applyFont="1" applyFill="1"/>
    <xf numFmtId="167" fontId="53" fillId="17" borderId="0" xfId="8" applyNumberFormat="1" applyFont="1" applyFill="1" applyAlignment="1">
      <alignment horizontal="right" vertical="center"/>
    </xf>
    <xf numFmtId="164" fontId="53" fillId="17" borderId="0" xfId="2" applyNumberFormat="1" applyFont="1" applyFill="1" applyBorder="1" applyAlignment="1">
      <alignment horizontal="right" vertical="center"/>
    </xf>
    <xf numFmtId="2" fontId="101" fillId="17" borderId="4" xfId="7" applyNumberFormat="1" applyFont="1" applyFill="1" applyBorder="1"/>
    <xf numFmtId="167" fontId="101" fillId="17" borderId="4" xfId="8" applyNumberFormat="1" applyFont="1" applyFill="1" applyBorder="1" applyAlignment="1">
      <alignment horizontal="right" vertical="center"/>
    </xf>
    <xf numFmtId="164" fontId="101" fillId="17" borderId="4" xfId="8" applyNumberFormat="1" applyFont="1" applyFill="1" applyBorder="1" applyAlignment="1">
      <alignment horizontal="right" vertical="center"/>
    </xf>
    <xf numFmtId="166" fontId="53" fillId="17" borderId="20" xfId="8" applyNumberFormat="1" applyFont="1" applyFill="1" applyBorder="1" applyAlignment="1">
      <alignment horizontal="right" vertical="center"/>
    </xf>
    <xf numFmtId="164" fontId="53" fillId="17" borderId="20" xfId="8" applyNumberFormat="1" applyFont="1" applyFill="1" applyBorder="1" applyAlignment="1">
      <alignment horizontal="right" vertical="center"/>
    </xf>
    <xf numFmtId="0" fontId="98" fillId="17" borderId="11" xfId="7" applyFont="1" applyFill="1" applyBorder="1" applyAlignment="1">
      <alignment horizontal="left"/>
    </xf>
    <xf numFmtId="166" fontId="99" fillId="17" borderId="49" xfId="8" applyNumberFormat="1" applyFont="1" applyFill="1" applyBorder="1" applyAlignment="1">
      <alignment horizontal="right" vertical="center"/>
    </xf>
    <xf numFmtId="164" fontId="99" fillId="17" borderId="49" xfId="8" applyNumberFormat="1" applyFont="1" applyFill="1" applyBorder="1" applyAlignment="1">
      <alignment horizontal="right" vertical="center"/>
    </xf>
    <xf numFmtId="164" fontId="53" fillId="17" borderId="0" xfId="8" applyNumberFormat="1" applyFont="1" applyFill="1" applyAlignment="1">
      <alignment horizontal="right" vertical="center"/>
    </xf>
    <xf numFmtId="0" fontId="102" fillId="0" borderId="0" xfId="0" applyFont="1" applyAlignment="1">
      <alignment horizontal="left" vertical="center" wrapText="1"/>
    </xf>
    <xf numFmtId="0" fontId="53" fillId="0" borderId="0" xfId="0" applyFont="1" applyAlignment="1">
      <alignment horizontal="left" vertical="center" wrapText="1"/>
    </xf>
    <xf numFmtId="0" fontId="101" fillId="0" borderId="0" xfId="0" applyFont="1" applyAlignment="1">
      <alignment horizontal="left" vertical="center" wrapText="1"/>
    </xf>
    <xf numFmtId="0" fontId="105" fillId="0" borderId="0" xfId="0" applyFont="1" applyAlignment="1">
      <alignment horizontal="left" vertical="center" wrapText="1"/>
    </xf>
    <xf numFmtId="0" fontId="67" fillId="0" borderId="0" xfId="0" applyFont="1" applyAlignment="1">
      <alignment horizontal="left" vertical="center" wrapText="1"/>
    </xf>
    <xf numFmtId="0" fontId="107" fillId="0" borderId="0" xfId="0" applyFont="1" applyAlignment="1">
      <alignment horizontal="left" vertical="center" wrapText="1"/>
    </xf>
    <xf numFmtId="0" fontId="108" fillId="0" borderId="0" xfId="9"/>
    <xf numFmtId="0" fontId="108" fillId="0" borderId="0" xfId="9" quotePrefix="1"/>
    <xf numFmtId="0" fontId="53" fillId="0" borderId="0" xfId="0" quotePrefix="1" applyFont="1" applyAlignment="1">
      <alignment horizontal="left" vertical="center" wrapText="1"/>
    </xf>
    <xf numFmtId="0" fontId="53" fillId="0" borderId="0" xfId="0" applyFont="1" applyAlignment="1">
      <alignment horizontal="left" vertical="center" wrapText="1"/>
    </xf>
    <xf numFmtId="0" fontId="6" fillId="0" borderId="0" xfId="0" applyFont="1" applyAlignment="1">
      <alignment horizontal="left" wrapText="1"/>
    </xf>
    <xf numFmtId="2" fontId="101" fillId="17" borderId="4" xfId="7" applyNumberFormat="1" applyFont="1" applyFill="1" applyBorder="1" applyAlignment="1">
      <alignment horizontal="left"/>
    </xf>
    <xf numFmtId="0" fontId="53" fillId="17" borderId="4" xfId="7" applyFont="1" applyFill="1" applyBorder="1" applyAlignment="1">
      <alignment horizontal="left" wrapText="1"/>
    </xf>
    <xf numFmtId="0" fontId="53" fillId="17" borderId="11" xfId="7" applyFont="1" applyFill="1" applyBorder="1" applyAlignment="1">
      <alignment horizontal="left" vertical="center" wrapText="1"/>
    </xf>
    <xf numFmtId="0" fontId="100" fillId="13" borderId="0" xfId="0" applyFont="1" applyFill="1" applyAlignment="1">
      <alignment horizontal="left" vertical="top" wrapText="1"/>
    </xf>
    <xf numFmtId="0" fontId="100" fillId="13" borderId="0" xfId="0" applyFont="1" applyFill="1" applyAlignment="1">
      <alignment horizontal="center" vertical="top"/>
    </xf>
    <xf numFmtId="0" fontId="53" fillId="17" borderId="20" xfId="7" applyFont="1" applyFill="1" applyBorder="1" applyAlignment="1">
      <alignment wrapText="1"/>
    </xf>
    <xf numFmtId="0" fontId="53" fillId="17" borderId="0" xfId="7" applyFont="1" applyFill="1" applyAlignment="1">
      <alignment horizontal="left" wrapText="1"/>
    </xf>
    <xf numFmtId="0" fontId="53" fillId="17" borderId="4" xfId="7" applyFont="1" applyFill="1" applyBorder="1" applyAlignment="1">
      <alignment horizontal="left" vertical="center" wrapText="1"/>
    </xf>
    <xf numFmtId="0" fontId="53" fillId="17" borderId="11" xfId="7" applyFont="1" applyFill="1" applyBorder="1" applyAlignment="1">
      <alignment horizontal="left"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8" fillId="0" borderId="0" xfId="0" applyFont="1" applyAlignment="1">
      <alignment vertical="center" wrapText="1"/>
    </xf>
    <xf numFmtId="0" fontId="19" fillId="2" borderId="10"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18" xfId="0" applyFont="1" applyFill="1" applyBorder="1" applyAlignment="1">
      <alignment horizontal="center" vertical="center"/>
    </xf>
    <xf numFmtId="0" fontId="27" fillId="3" borderId="19" xfId="0" applyFont="1" applyFill="1" applyBorder="1" applyAlignment="1">
      <alignment horizontal="center" vertical="center"/>
    </xf>
    <xf numFmtId="0" fontId="27" fillId="3" borderId="10" xfId="0" applyFont="1" applyFill="1" applyBorder="1" applyAlignment="1">
      <alignment horizontal="center" vertical="center"/>
    </xf>
    <xf numFmtId="0" fontId="27" fillId="3" borderId="15" xfId="0" applyFont="1" applyFill="1" applyBorder="1" applyAlignment="1">
      <alignment horizontal="center" vertical="center"/>
    </xf>
    <xf numFmtId="0" fontId="27" fillId="3" borderId="20"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16" xfId="0" applyFont="1" applyFill="1" applyBorder="1" applyAlignment="1">
      <alignment horizontal="center" vertical="center"/>
    </xf>
    <xf numFmtId="0" fontId="35" fillId="0" borderId="21"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36" xfId="0" applyFont="1" applyBorder="1" applyAlignment="1">
      <alignment horizontal="center" vertical="center" wrapText="1"/>
    </xf>
    <xf numFmtId="0" fontId="0" fillId="0" borderId="2" xfId="0" applyBorder="1" applyAlignment="1">
      <alignment horizont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9" fontId="25" fillId="0" borderId="2" xfId="0" applyNumberFormat="1" applyFont="1" applyBorder="1" applyAlignment="1">
      <alignment horizontal="center" vertical="center"/>
    </xf>
    <xf numFmtId="9" fontId="25" fillId="0" borderId="2" xfId="0" applyNumberFormat="1" applyFont="1" applyBorder="1" applyAlignment="1">
      <alignment horizontal="center" vertical="center" wrapText="1"/>
    </xf>
    <xf numFmtId="0" fontId="70" fillId="0" borderId="17" xfId="0" applyFont="1" applyBorder="1" applyAlignment="1">
      <alignment vertical="center" wrapText="1"/>
    </xf>
    <xf numFmtId="0" fontId="70" fillId="0" borderId="6" xfId="0" applyFont="1" applyBorder="1" applyAlignment="1">
      <alignment vertical="center" wrapText="1"/>
    </xf>
    <xf numFmtId="0" fontId="71" fillId="0" borderId="2" xfId="0" applyFont="1" applyBorder="1" applyAlignment="1">
      <alignment horizontal="center" vertical="center" wrapText="1"/>
    </xf>
    <xf numFmtId="0" fontId="70" fillId="0" borderId="2" xfId="0" applyFont="1" applyBorder="1" applyAlignment="1">
      <alignment horizontal="center" vertical="center" wrapText="1"/>
    </xf>
    <xf numFmtId="0" fontId="78" fillId="0" borderId="2" xfId="0" applyFont="1" applyBorder="1" applyAlignment="1">
      <alignment horizontal="center" vertical="center" wrapText="1"/>
    </xf>
    <xf numFmtId="0" fontId="78" fillId="0" borderId="2" xfId="0" applyFont="1" applyBorder="1" applyAlignment="1">
      <alignment horizontal="center" vertical="center"/>
    </xf>
    <xf numFmtId="0" fontId="70" fillId="0" borderId="5" xfId="0" applyFont="1" applyBorder="1" applyAlignment="1">
      <alignment horizontal="center" vertical="center" wrapText="1"/>
    </xf>
    <xf numFmtId="0" fontId="70" fillId="0" borderId="3" xfId="0" applyFont="1" applyBorder="1" applyAlignment="1">
      <alignment horizontal="center" vertical="center" wrapText="1"/>
    </xf>
    <xf numFmtId="0" fontId="70" fillId="0" borderId="4" xfId="0" applyFont="1" applyBorder="1" applyAlignment="1">
      <alignment horizontal="center" vertical="center" wrapText="1"/>
    </xf>
    <xf numFmtId="0" fontId="71" fillId="0" borderId="6" xfId="0" applyFont="1" applyBorder="1" applyAlignment="1">
      <alignment vertical="center" wrapText="1"/>
    </xf>
    <xf numFmtId="0" fontId="71" fillId="0" borderId="2" xfId="0" applyFont="1" applyBorder="1" applyAlignment="1">
      <alignment vertical="center" wrapText="1"/>
    </xf>
    <xf numFmtId="0" fontId="7" fillId="0" borderId="18" xfId="6" applyFont="1" applyBorder="1" applyAlignment="1">
      <alignment horizontal="center" vertical="center" wrapText="1"/>
    </xf>
    <xf numFmtId="0" fontId="7" fillId="0" borderId="19" xfId="6" applyFont="1" applyBorder="1" applyAlignment="1">
      <alignment horizontal="center" vertical="center" wrapText="1"/>
    </xf>
    <xf numFmtId="0" fontId="7" fillId="0" borderId="38" xfId="6" applyFont="1" applyBorder="1" applyAlignment="1">
      <alignment horizontal="center" vertical="center" wrapText="1"/>
    </xf>
    <xf numFmtId="0" fontId="7" fillId="0" borderId="16" xfId="6" applyFont="1" applyBorder="1" applyAlignment="1">
      <alignment horizontal="center" vertical="center" wrapText="1"/>
    </xf>
    <xf numFmtId="0" fontId="7" fillId="0" borderId="10" xfId="6" applyFont="1" applyBorder="1" applyAlignment="1">
      <alignment horizontal="center" vertical="center" wrapText="1"/>
    </xf>
    <xf numFmtId="0" fontId="7" fillId="0" borderId="15" xfId="6" applyFont="1" applyBorder="1" applyAlignment="1">
      <alignment horizontal="center" vertical="center" wrapText="1"/>
    </xf>
    <xf numFmtId="0" fontId="7" fillId="0" borderId="3" xfId="6" applyFont="1" applyBorder="1" applyAlignment="1">
      <alignment horizontal="center" vertical="center" wrapText="1"/>
    </xf>
    <xf numFmtId="0" fontId="7" fillId="0" borderId="5" xfId="6" applyFont="1" applyBorder="1" applyAlignment="1">
      <alignment horizontal="center" vertical="center" wrapText="1"/>
    </xf>
    <xf numFmtId="0" fontId="91" fillId="0" borderId="39" xfId="0" applyFont="1" applyBorder="1" applyAlignment="1">
      <alignment vertical="center"/>
    </xf>
    <xf numFmtId="0" fontId="91" fillId="0" borderId="40" xfId="0" applyFont="1" applyBorder="1" applyAlignment="1">
      <alignment vertical="center"/>
    </xf>
    <xf numFmtId="0" fontId="92" fillId="0" borderId="29" xfId="0" applyFont="1" applyBorder="1" applyAlignment="1">
      <alignment vertical="center"/>
    </xf>
    <xf numFmtId="0" fontId="92" fillId="0" borderId="28" xfId="0" applyFont="1" applyBorder="1" applyAlignment="1">
      <alignment vertical="center"/>
    </xf>
    <xf numFmtId="0" fontId="92" fillId="0" borderId="43" xfId="0" applyFont="1" applyBorder="1" applyAlignment="1">
      <alignment vertical="center"/>
    </xf>
    <xf numFmtId="0" fontId="92" fillId="0" borderId="1" xfId="0" applyFont="1" applyBorder="1" applyAlignment="1">
      <alignment vertical="center"/>
    </xf>
    <xf numFmtId="165" fontId="33" fillId="0" borderId="21" xfId="0" applyNumberFormat="1" applyFont="1" applyBorder="1" applyAlignment="1">
      <alignment horizontal="center" vertical="center" wrapText="1"/>
    </xf>
    <xf numFmtId="165" fontId="33" fillId="0" borderId="24" xfId="0" applyNumberFormat="1" applyFont="1" applyBorder="1" applyAlignment="1">
      <alignment horizontal="center" vertical="center" wrapText="1"/>
    </xf>
    <xf numFmtId="165" fontId="33" fillId="0" borderId="22" xfId="0" applyNumberFormat="1" applyFont="1" applyBorder="1" applyAlignment="1">
      <alignment horizontal="center" vertical="center" wrapText="1"/>
    </xf>
    <xf numFmtId="165" fontId="33" fillId="0" borderId="42" xfId="0" applyNumberFormat="1" applyFont="1" applyBorder="1" applyAlignment="1">
      <alignment horizontal="center" vertical="center" wrapText="1"/>
    </xf>
    <xf numFmtId="165" fontId="33" fillId="0" borderId="44" xfId="0" applyNumberFormat="1" applyFont="1" applyBorder="1" applyAlignment="1">
      <alignment horizontal="center" vertical="center" wrapText="1"/>
    </xf>
    <xf numFmtId="0" fontId="93" fillId="13" borderId="21" xfId="0" applyFont="1" applyFill="1" applyBorder="1" applyAlignment="1">
      <alignment horizontal="left" vertical="center"/>
    </xf>
    <xf numFmtId="0" fontId="93" fillId="13" borderId="24" xfId="0" applyFont="1" applyFill="1" applyBorder="1" applyAlignment="1">
      <alignment horizontal="left" vertical="center"/>
    </xf>
    <xf numFmtId="0" fontId="93" fillId="13" borderId="25" xfId="0" applyFont="1" applyFill="1" applyBorder="1" applyAlignment="1">
      <alignment horizontal="left" vertical="center"/>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2" xfId="0"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25" fillId="2" borderId="3" xfId="0" applyFont="1" applyFill="1" applyBorder="1" applyAlignment="1">
      <alignment horizontal="center"/>
    </xf>
    <xf numFmtId="0" fontId="25" fillId="2" borderId="4" xfId="0" applyFont="1" applyFill="1" applyBorder="1" applyAlignment="1">
      <alignment horizontal="center"/>
    </xf>
    <xf numFmtId="0" fontId="25" fillId="2" borderId="5" xfId="0" applyFont="1" applyFill="1" applyBorder="1" applyAlignment="1">
      <alignment horizontal="center"/>
    </xf>
  </cellXfs>
  <cellStyles count="10">
    <cellStyle name="=C:\WINNT35\SYSTEM32\COMMAND.COM" xfId="3" xr:uid="{4A1C12B2-57EF-4370-8FA2-25A57DB2CF40}"/>
    <cellStyle name="Komma" xfId="1" builtinId="3"/>
    <cellStyle name="Link" xfId="9" builtinId="8"/>
    <cellStyle name="Normal" xfId="0" builtinId="0"/>
    <cellStyle name="Normal 2" xfId="5" xr:uid="{86358CC8-8937-43E4-B1ED-BF685D9E2597}"/>
    <cellStyle name="Normal 3 2" xfId="7" xr:uid="{546EFD49-6AB1-4F25-9368-36874F60FF79}"/>
    <cellStyle name="Normal_20 OPR" xfId="6" xr:uid="{1CDD8AA4-46B6-45A2-8007-5E88B333D96A}"/>
    <cellStyle name="Normal_Tables for PP" xfId="8" xr:uid="{A4851E71-EFB9-4B29-824B-557573964CA2}"/>
    <cellStyle name="optionalExposure" xfId="4" xr:uid="{BEB9F358-7BBC-4402-A1A6-59621DB52425}"/>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4533900</xdr:colOff>
      <xdr:row>0</xdr:row>
      <xdr:rowOff>50800</xdr:rowOff>
    </xdr:from>
    <xdr:to>
      <xdr:col>1</xdr:col>
      <xdr:colOff>990599</xdr:colOff>
      <xdr:row>0</xdr:row>
      <xdr:rowOff>323850</xdr:rowOff>
    </xdr:to>
    <xdr:pic>
      <xdr:nvPicPr>
        <xdr:cNvPr id="2" name="Picture 1" descr="AL-logo_1 linie_cmyk">
          <a:extLst>
            <a:ext uri="{FF2B5EF4-FFF2-40B4-BE49-F238E27FC236}">
              <a16:creationId xmlns:a16="http://schemas.microsoft.com/office/drawing/2014/main" id="{78E188CF-97F6-4A64-8DD1-7C0E061277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3900" y="50800"/>
          <a:ext cx="3041649"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xdr:row>
      <xdr:rowOff>133350</xdr:rowOff>
    </xdr:from>
    <xdr:to>
      <xdr:col>4</xdr:col>
      <xdr:colOff>666749</xdr:colOff>
      <xdr:row>1</xdr:row>
      <xdr:rowOff>400050</xdr:rowOff>
    </xdr:to>
    <xdr:pic>
      <xdr:nvPicPr>
        <xdr:cNvPr id="2" name="Picture 1" descr="AL-logo_1 linie_cmyk">
          <a:extLst>
            <a:ext uri="{FF2B5EF4-FFF2-40B4-BE49-F238E27FC236}">
              <a16:creationId xmlns:a16="http://schemas.microsoft.com/office/drawing/2014/main" id="{2821A785-5ADB-473D-B8F8-DA8D1287C8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133350"/>
          <a:ext cx="2184399"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BFE5D-7C08-4639-A932-1CE9F2CE752B}">
  <dimension ref="A1:B41"/>
  <sheetViews>
    <sheetView zoomScaleNormal="100" workbookViewId="0">
      <selection activeCell="A5" sqref="A5:B5"/>
    </sheetView>
  </sheetViews>
  <sheetFormatPr defaultRowHeight="14.5" x14ac:dyDescent="0.35"/>
  <cols>
    <col min="1" max="1" width="94.26953125" customWidth="1"/>
    <col min="2" max="2" width="14.453125" customWidth="1"/>
  </cols>
  <sheetData>
    <row r="1" spans="1:2" ht="28" customHeight="1" x14ac:dyDescent="0.35"/>
    <row r="2" spans="1:2" ht="26" x14ac:dyDescent="0.35">
      <c r="A2" s="478" t="s">
        <v>0</v>
      </c>
    </row>
    <row r="3" spans="1:2" x14ac:dyDescent="0.35">
      <c r="A3" s="479"/>
    </row>
    <row r="4" spans="1:2" x14ac:dyDescent="0.35">
      <c r="A4" s="480" t="s">
        <v>1</v>
      </c>
    </row>
    <row r="5" spans="1:2" ht="57.65" customHeight="1" x14ac:dyDescent="0.35">
      <c r="A5" s="487" t="s">
        <v>2</v>
      </c>
      <c r="B5" s="487"/>
    </row>
    <row r="6" spans="1:2" ht="49.5" customHeight="1" x14ac:dyDescent="0.35">
      <c r="A6" s="487" t="s">
        <v>3</v>
      </c>
      <c r="B6" s="487"/>
    </row>
    <row r="7" spans="1:2" ht="45" customHeight="1" x14ac:dyDescent="0.35">
      <c r="A7" s="487" t="s">
        <v>4</v>
      </c>
      <c r="B7" s="487"/>
    </row>
    <row r="8" spans="1:2" ht="24.65" customHeight="1" x14ac:dyDescent="0.35">
      <c r="A8" s="487" t="s">
        <v>5</v>
      </c>
      <c r="B8" s="487"/>
    </row>
    <row r="9" spans="1:2" x14ac:dyDescent="0.35">
      <c r="A9" s="486" t="s">
        <v>6</v>
      </c>
      <c r="B9" s="486"/>
    </row>
    <row r="10" spans="1:2" x14ac:dyDescent="0.35">
      <c r="A10" s="486" t="s">
        <v>7</v>
      </c>
      <c r="B10" s="486"/>
    </row>
    <row r="11" spans="1:2" x14ac:dyDescent="0.35">
      <c r="A11" s="486" t="s">
        <v>8</v>
      </c>
      <c r="B11" s="486"/>
    </row>
    <row r="12" spans="1:2" x14ac:dyDescent="0.35">
      <c r="A12" s="486" t="s">
        <v>9</v>
      </c>
      <c r="B12" s="486"/>
    </row>
    <row r="13" spans="1:2" x14ac:dyDescent="0.35">
      <c r="A13" s="481"/>
    </row>
    <row r="14" spans="1:2" ht="34.5" customHeight="1" x14ac:dyDescent="0.35">
      <c r="A14" s="482" t="s">
        <v>10</v>
      </c>
    </row>
    <row r="15" spans="1:2" x14ac:dyDescent="0.35">
      <c r="A15" s="483" t="s">
        <v>11</v>
      </c>
    </row>
    <row r="16" spans="1:2" x14ac:dyDescent="0.35">
      <c r="A16" s="479" t="s">
        <v>12</v>
      </c>
      <c r="B16" s="484" t="s">
        <v>13</v>
      </c>
    </row>
    <row r="17" spans="1:2" x14ac:dyDescent="0.35">
      <c r="A17" s="479" t="s">
        <v>14</v>
      </c>
      <c r="B17" s="485" t="s">
        <v>15</v>
      </c>
    </row>
    <row r="18" spans="1:2" x14ac:dyDescent="0.35">
      <c r="A18" s="479" t="s">
        <v>16</v>
      </c>
      <c r="B18" s="485" t="s">
        <v>17</v>
      </c>
    </row>
    <row r="19" spans="1:2" x14ac:dyDescent="0.35">
      <c r="A19" s="479" t="s">
        <v>18</v>
      </c>
      <c r="B19" s="485" t="s">
        <v>19</v>
      </c>
    </row>
    <row r="20" spans="1:2" x14ac:dyDescent="0.35">
      <c r="A20" s="479" t="s">
        <v>20</v>
      </c>
      <c r="B20" s="485" t="s">
        <v>21</v>
      </c>
    </row>
    <row r="21" spans="1:2" x14ac:dyDescent="0.35">
      <c r="A21" s="483" t="s">
        <v>22</v>
      </c>
    </row>
    <row r="22" spans="1:2" x14ac:dyDescent="0.35">
      <c r="A22" s="479" t="s">
        <v>23</v>
      </c>
      <c r="B22" s="485" t="s">
        <v>24</v>
      </c>
    </row>
    <row r="23" spans="1:2" x14ac:dyDescent="0.35">
      <c r="A23" s="479" t="s">
        <v>25</v>
      </c>
      <c r="B23" s="485" t="s">
        <v>26</v>
      </c>
    </row>
    <row r="24" spans="1:2" x14ac:dyDescent="0.35">
      <c r="A24" s="479" t="s">
        <v>27</v>
      </c>
      <c r="B24" s="485" t="s">
        <v>28</v>
      </c>
    </row>
    <row r="25" spans="1:2" x14ac:dyDescent="0.35">
      <c r="A25" s="479" t="s">
        <v>29</v>
      </c>
      <c r="B25" s="485" t="s">
        <v>30</v>
      </c>
    </row>
    <row r="26" spans="1:2" x14ac:dyDescent="0.35">
      <c r="A26" s="479" t="s">
        <v>31</v>
      </c>
      <c r="B26" s="485" t="s">
        <v>32</v>
      </c>
    </row>
    <row r="27" spans="1:2" x14ac:dyDescent="0.35">
      <c r="A27" s="479" t="s">
        <v>33</v>
      </c>
      <c r="B27" s="485" t="s">
        <v>34</v>
      </c>
    </row>
    <row r="28" spans="1:2" x14ac:dyDescent="0.35">
      <c r="A28" s="483" t="s">
        <v>35</v>
      </c>
    </row>
    <row r="29" spans="1:2" x14ac:dyDescent="0.35">
      <c r="A29" s="479" t="s">
        <v>36</v>
      </c>
      <c r="B29" s="485" t="s">
        <v>37</v>
      </c>
    </row>
    <row r="30" spans="1:2" x14ac:dyDescent="0.35">
      <c r="A30" s="479" t="s">
        <v>38</v>
      </c>
      <c r="B30" s="485" t="s">
        <v>39</v>
      </c>
    </row>
    <row r="31" spans="1:2" x14ac:dyDescent="0.35">
      <c r="A31" s="479" t="s">
        <v>40</v>
      </c>
      <c r="B31" s="485" t="s">
        <v>41</v>
      </c>
    </row>
    <row r="32" spans="1:2" x14ac:dyDescent="0.35">
      <c r="A32" s="479" t="s">
        <v>42</v>
      </c>
      <c r="B32" s="485" t="s">
        <v>43</v>
      </c>
    </row>
    <row r="33" spans="1:2" x14ac:dyDescent="0.35">
      <c r="A33" s="479" t="s">
        <v>44</v>
      </c>
      <c r="B33" s="485" t="s">
        <v>45</v>
      </c>
    </row>
    <row r="34" spans="1:2" x14ac:dyDescent="0.35">
      <c r="A34" s="483" t="s">
        <v>46</v>
      </c>
    </row>
    <row r="35" spans="1:2" x14ac:dyDescent="0.35">
      <c r="A35" s="479" t="s">
        <v>47</v>
      </c>
      <c r="B35" s="485" t="s">
        <v>48</v>
      </c>
    </row>
    <row r="36" spans="1:2" x14ac:dyDescent="0.35">
      <c r="A36" s="479" t="s">
        <v>49</v>
      </c>
      <c r="B36" s="485" t="s">
        <v>50</v>
      </c>
    </row>
    <row r="37" spans="1:2" x14ac:dyDescent="0.35">
      <c r="A37" s="483" t="s">
        <v>51</v>
      </c>
    </row>
    <row r="38" spans="1:2" x14ac:dyDescent="0.35">
      <c r="A38" s="479" t="s">
        <v>52</v>
      </c>
      <c r="B38" s="485" t="s">
        <v>53</v>
      </c>
    </row>
    <row r="39" spans="1:2" ht="31.5" customHeight="1" x14ac:dyDescent="0.35">
      <c r="A39" s="483" t="s">
        <v>54</v>
      </c>
    </row>
    <row r="40" spans="1:2" x14ac:dyDescent="0.35">
      <c r="A40" s="479" t="s">
        <v>55</v>
      </c>
      <c r="B40" s="485" t="s">
        <v>56</v>
      </c>
    </row>
    <row r="41" spans="1:2" x14ac:dyDescent="0.35">
      <c r="A41" s="479" t="s">
        <v>57</v>
      </c>
      <c r="B41" s="485" t="s">
        <v>58</v>
      </c>
    </row>
  </sheetData>
  <mergeCells count="8">
    <mergeCell ref="A10:B10"/>
    <mergeCell ref="A11:B11"/>
    <mergeCell ref="A12:B12"/>
    <mergeCell ref="A5:B5"/>
    <mergeCell ref="A6:B6"/>
    <mergeCell ref="A7:B7"/>
    <mergeCell ref="A8:B8"/>
    <mergeCell ref="A9:B9"/>
  </mergeCells>
  <hyperlinks>
    <hyperlink ref="B16" location="Solvensbehov!A1" display="Solvensbehov" xr:uid="{B637B709-D83D-4ABC-9F2C-53DE7FA57BEE}"/>
    <hyperlink ref="B17" location="'EU CC1 DK'!A1" display="'EU CC1" xr:uid="{52D40022-EF11-4D01-BBB8-4AD1B8BEFF2F}"/>
    <hyperlink ref="B18" location="'EU CC2 DK'!A1" display="'EU CC2" xr:uid="{A5D69E2E-A863-4F25-AE50-4907C932BB05}"/>
    <hyperlink ref="B19" location="'EU CCyB1 DK'!A1" display="'EU CCyB1" xr:uid="{30C45A51-9FC3-49E4-B455-D181A5113499}"/>
    <hyperlink ref="B20" location="'EU CCyB2 DK'!A1" display="'EU CCyB2" xr:uid="{BCA55336-F157-4948-98F0-C965A24B0F9E}"/>
    <hyperlink ref="B22" location="'EU CR1 DK'!A1" display="'EU CR1" xr:uid="{6DF254AB-7388-4310-9FBC-273D07EC7D1C}"/>
    <hyperlink ref="B23" location="'EU CR1-A DK'!A1" display="'EU CR1-A" xr:uid="{720A61A0-24AE-4D1B-9B3C-74107E4C2EC1}"/>
    <hyperlink ref="B24" location="'EU CR2 DK'!A1" display="'EU CR2" xr:uid="{909B5D13-678D-4AA3-8CB8-E3AB6B39ECF1}"/>
    <hyperlink ref="B25" location="'EU CR3 DK'!A1" display="'EU CR3" xr:uid="{B814FB7C-DF87-4847-83F1-DA692CB8E01B}"/>
    <hyperlink ref="B26" location="'EU CR4 DK'!A1" display="'EU CR4" xr:uid="{7BD94FCF-00E5-4F2A-B64F-EC325E8DBFAB}"/>
    <hyperlink ref="B27" location="'EU CR5 DK'!A1" display="'EU CR5" xr:uid="{D0A2935E-4976-4B05-ACBD-85F960D37D36}"/>
    <hyperlink ref="B29" location="'EU CCR1 DK'!A1" display="'EU CCR1" xr:uid="{C85D0792-CB56-4ED2-8E55-1DF90DF8F425}"/>
    <hyperlink ref="B30" location="'EU CCR2 DK'!A1" display="'EU CCR2" xr:uid="{FA7DC565-8FBB-4C2C-9365-0B27EB24836C}"/>
    <hyperlink ref="B31" location="'EU CCR3 DK'!A1" display="'EU CCR3" xr:uid="{A6A0CDC0-A4B2-46EC-8546-7DD5010DAB82}"/>
    <hyperlink ref="B32" location="'EU CCR5 DK'!A1" display="'EU CCR5" xr:uid="{B6AC4A0E-5571-465E-9C79-779A0FB544A9}"/>
    <hyperlink ref="B33" location="'EU CCR8 DK'!A1" display="'EU CCR8" xr:uid="{66E2B87D-4439-4B5D-B92B-9C63664D88FC}"/>
    <hyperlink ref="B35" location="'EU MR1 DK'!A1" display="'EU MR1" xr:uid="{FB020DE0-CE1D-4B77-A628-7B7472C0C7CC}"/>
    <hyperlink ref="B36" location="'EU IRRBB1 DK'!A1" display="'EU IRRBB1" xr:uid="{BFB4EA57-74B2-4968-B594-7E72DA712D9E}"/>
    <hyperlink ref="B38" location="'EU LIQ2 DK'!A1" display="'EU LIQ2" xr:uid="{AC8F1A62-54C1-4181-B87B-4886E748698F}"/>
    <hyperlink ref="B40" location="'EU LR1 - LRSum DK'!A1" display="'EU LR1 - LRSum" xr:uid="{DAB49912-18A6-4023-ABC4-DB5E569DCA23}"/>
    <hyperlink ref="B41" location="'EU LR2 - LRCom DK'!A1" display="'EU LR2 - LRCom" xr:uid="{5AC90D20-385E-4F7F-9BC5-35F90A534A4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0D48-E154-4971-9A2B-6AC7E866D11D}">
  <dimension ref="A2:J15"/>
  <sheetViews>
    <sheetView workbookViewId="0">
      <selection activeCell="D19" sqref="D19"/>
    </sheetView>
  </sheetViews>
  <sheetFormatPr defaultRowHeight="14.5" x14ac:dyDescent="0.35"/>
  <cols>
    <col min="1" max="1" width="5.54296875" customWidth="1"/>
    <col min="2" max="2" width="33.453125" customWidth="1"/>
    <col min="3" max="3" width="20.7265625" customWidth="1"/>
    <col min="4" max="4" width="24.453125" customWidth="1"/>
    <col min="5" max="5" width="19" customWidth="1"/>
    <col min="6" max="6" width="19.1796875" customWidth="1"/>
    <col min="7" max="7" width="16.81640625" customWidth="1"/>
  </cols>
  <sheetData>
    <row r="2" spans="1:10" ht="21" x14ac:dyDescent="0.5">
      <c r="A2" s="183" t="s">
        <v>376</v>
      </c>
      <c r="C2" s="153"/>
      <c r="D2" s="153"/>
      <c r="E2" s="153"/>
      <c r="F2" s="153"/>
    </row>
    <row r="6" spans="1:10" ht="58" x14ac:dyDescent="0.35">
      <c r="A6" s="154"/>
      <c r="B6" s="155"/>
      <c r="C6" s="156" t="s">
        <v>377</v>
      </c>
      <c r="D6" s="157" t="s">
        <v>378</v>
      </c>
      <c r="E6" s="158"/>
      <c r="F6" s="158"/>
      <c r="G6" s="159"/>
      <c r="H6" s="160"/>
      <c r="I6" s="160"/>
      <c r="J6" s="160"/>
    </row>
    <row r="7" spans="1:10" ht="29" x14ac:dyDescent="0.35">
      <c r="A7" s="161"/>
      <c r="B7" s="162" t="s">
        <v>62</v>
      </c>
      <c r="C7" s="163"/>
      <c r="D7" s="164"/>
      <c r="E7" s="156" t="s">
        <v>379</v>
      </c>
      <c r="F7" s="165" t="s">
        <v>380</v>
      </c>
      <c r="G7" s="165" t="s">
        <v>381</v>
      </c>
      <c r="H7" s="160"/>
      <c r="I7" s="160"/>
      <c r="J7" s="160"/>
    </row>
    <row r="8" spans="1:10" x14ac:dyDescent="0.35">
      <c r="A8" s="161"/>
      <c r="B8" s="162"/>
      <c r="C8" s="166"/>
      <c r="D8" s="167"/>
      <c r="E8" s="166"/>
      <c r="F8" s="166"/>
      <c r="G8" s="168"/>
      <c r="H8" s="160"/>
      <c r="I8" s="160"/>
      <c r="J8" s="160"/>
    </row>
    <row r="9" spans="1:10" x14ac:dyDescent="0.35">
      <c r="A9" s="169"/>
      <c r="B9" s="170"/>
      <c r="C9" s="171" t="s">
        <v>226</v>
      </c>
      <c r="D9" s="172" t="s">
        <v>227</v>
      </c>
      <c r="E9" s="171" t="s">
        <v>228</v>
      </c>
      <c r="F9" s="172" t="s">
        <v>275</v>
      </c>
      <c r="G9" s="171" t="s">
        <v>276</v>
      </c>
      <c r="H9" s="160"/>
      <c r="I9" s="160"/>
      <c r="J9" s="160"/>
    </row>
    <row r="10" spans="1:10" x14ac:dyDescent="0.35">
      <c r="A10" s="171">
        <v>1</v>
      </c>
      <c r="B10" s="173" t="s">
        <v>329</v>
      </c>
      <c r="C10" s="174">
        <v>10451.303603964501</v>
      </c>
      <c r="D10" s="174">
        <v>35677.232796914002</v>
      </c>
      <c r="E10" s="174">
        <v>35677.232796914002</v>
      </c>
      <c r="F10" s="174">
        <v>0</v>
      </c>
      <c r="G10" s="175">
        <v>0</v>
      </c>
      <c r="H10" s="160"/>
      <c r="I10" s="160"/>
      <c r="J10" s="160"/>
    </row>
    <row r="11" spans="1:10" x14ac:dyDescent="0.35">
      <c r="A11" s="171">
        <v>2</v>
      </c>
      <c r="B11" s="173" t="s">
        <v>344</v>
      </c>
      <c r="C11" s="174">
        <v>0</v>
      </c>
      <c r="D11" s="174">
        <v>0</v>
      </c>
      <c r="E11" s="174">
        <v>0</v>
      </c>
      <c r="F11" s="174">
        <v>0</v>
      </c>
      <c r="G11" s="175">
        <v>0</v>
      </c>
      <c r="H11" s="160"/>
      <c r="I11" s="160"/>
      <c r="J11" s="160"/>
    </row>
    <row r="12" spans="1:10" x14ac:dyDescent="0.35">
      <c r="A12" s="171">
        <v>3</v>
      </c>
      <c r="B12" s="173" t="s">
        <v>300</v>
      </c>
      <c r="C12" s="174">
        <v>10451.303603964501</v>
      </c>
      <c r="D12" s="174">
        <v>35677.232796914002</v>
      </c>
      <c r="E12" s="174">
        <v>35677.232796914002</v>
      </c>
      <c r="F12" s="176">
        <v>0</v>
      </c>
      <c r="G12" s="175">
        <v>0</v>
      </c>
      <c r="H12" s="160"/>
      <c r="I12" s="160"/>
      <c r="J12" s="160"/>
    </row>
    <row r="13" spans="1:10" x14ac:dyDescent="0.35">
      <c r="A13" s="171">
        <v>4</v>
      </c>
      <c r="B13" s="177" t="s">
        <v>382</v>
      </c>
      <c r="C13" s="178">
        <v>934.97088867360935</v>
      </c>
      <c r="D13" s="174">
        <v>2198.0373758833907</v>
      </c>
      <c r="E13" s="174">
        <v>2198.0373758833907</v>
      </c>
      <c r="F13" s="179">
        <v>0</v>
      </c>
      <c r="G13" s="179">
        <v>0</v>
      </c>
      <c r="H13" s="160"/>
      <c r="I13" s="160"/>
      <c r="J13" s="160"/>
    </row>
    <row r="14" spans="1:10" x14ac:dyDescent="0.35">
      <c r="A14" s="180" t="s">
        <v>383</v>
      </c>
      <c r="B14" s="177" t="s">
        <v>384</v>
      </c>
      <c r="C14" s="178">
        <v>934.97088867360935</v>
      </c>
      <c r="D14" s="174">
        <v>2198.0373758833907</v>
      </c>
      <c r="E14" s="181"/>
      <c r="F14" s="182"/>
      <c r="G14" s="182"/>
      <c r="H14" s="160"/>
      <c r="I14" s="160"/>
      <c r="J14" s="160"/>
    </row>
    <row r="15" spans="1:10" x14ac:dyDescent="0.35">
      <c r="A15" s="160"/>
      <c r="B15" s="160"/>
      <c r="C15" s="160"/>
      <c r="D15" s="160"/>
      <c r="E15" s="160"/>
      <c r="F15" s="160"/>
      <c r="G15" s="160"/>
      <c r="H15" s="160"/>
      <c r="I15" s="160"/>
      <c r="J15" s="16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C76E2-580B-4DDC-8394-587CCC57443A}">
  <dimension ref="A3:G29"/>
  <sheetViews>
    <sheetView workbookViewId="0">
      <selection activeCell="B1" sqref="B1"/>
    </sheetView>
  </sheetViews>
  <sheetFormatPr defaultColWidth="9.1796875" defaultRowHeight="14.5" x14ac:dyDescent="0.35"/>
  <cols>
    <col min="1" max="1" width="39.26953125" style="65" customWidth="1"/>
    <col min="2" max="2" width="15.453125" style="65" customWidth="1"/>
    <col min="3" max="5" width="16" style="65" customWidth="1"/>
    <col min="6" max="6" width="12.54296875" style="65" customWidth="1"/>
    <col min="7" max="7" width="15.7265625" style="65" customWidth="1"/>
    <col min="8" max="16384" width="9.1796875" style="65"/>
  </cols>
  <sheetData>
    <row r="3" spans="1:7" ht="18.5" x14ac:dyDescent="0.45">
      <c r="A3" s="3" t="s">
        <v>385</v>
      </c>
    </row>
    <row r="6" spans="1:7" ht="65.25" customHeight="1" x14ac:dyDescent="0.35">
      <c r="A6" s="538" t="s">
        <v>386</v>
      </c>
      <c r="B6" s="539" t="s">
        <v>387</v>
      </c>
      <c r="C6" s="538"/>
      <c r="D6" s="540" t="s">
        <v>388</v>
      </c>
      <c r="E6" s="539"/>
      <c r="F6" s="541" t="s">
        <v>389</v>
      </c>
      <c r="G6" s="542"/>
    </row>
    <row r="7" spans="1:7" ht="43.5" x14ac:dyDescent="0.35">
      <c r="A7" s="538"/>
      <c r="B7" s="185" t="s">
        <v>390</v>
      </c>
      <c r="C7" s="184" t="s">
        <v>351</v>
      </c>
      <c r="D7" s="185" t="s">
        <v>390</v>
      </c>
      <c r="E7" s="184" t="s">
        <v>351</v>
      </c>
      <c r="F7" s="186" t="s">
        <v>391</v>
      </c>
      <c r="G7" s="186" t="s">
        <v>392</v>
      </c>
    </row>
    <row r="8" spans="1:7" x14ac:dyDescent="0.35">
      <c r="A8" s="538"/>
      <c r="B8" s="187" t="s">
        <v>226</v>
      </c>
      <c r="C8" s="123" t="s">
        <v>227</v>
      </c>
      <c r="D8" s="123" t="s">
        <v>228</v>
      </c>
      <c r="E8" s="123" t="s">
        <v>275</v>
      </c>
      <c r="F8" s="123" t="s">
        <v>276</v>
      </c>
      <c r="G8" s="123" t="s">
        <v>277</v>
      </c>
    </row>
    <row r="9" spans="1:7" x14ac:dyDescent="0.35">
      <c r="A9" s="188" t="s">
        <v>393</v>
      </c>
      <c r="B9" s="189">
        <f>9112184107/1000000</f>
        <v>9112.1841069999991</v>
      </c>
      <c r="C9" s="189">
        <f>200.612/1000000</f>
        <v>2.00612E-4</v>
      </c>
      <c r="D9" s="189">
        <f>9221792000/1000000</f>
        <v>9221.7919999999995</v>
      </c>
      <c r="E9" s="189">
        <v>0</v>
      </c>
      <c r="F9" s="189">
        <f>1581759/1000000</f>
        <v>1.5817589999999999</v>
      </c>
      <c r="G9" s="190">
        <v>0</v>
      </c>
    </row>
    <row r="10" spans="1:7" x14ac:dyDescent="0.35">
      <c r="A10" s="191" t="s">
        <v>394</v>
      </c>
      <c r="B10" s="192">
        <f>8699302/1000000</f>
        <v>8.6993019999999994</v>
      </c>
      <c r="C10" s="192">
        <f>11716734/1000000</f>
        <v>11.716734000000001</v>
      </c>
      <c r="D10" s="192">
        <f>8818975/1000000</f>
        <v>8.818975</v>
      </c>
      <c r="E10" s="192">
        <f>1424798/1000000</f>
        <v>1.424798</v>
      </c>
      <c r="F10" s="192">
        <v>0</v>
      </c>
      <c r="G10" s="193">
        <v>0</v>
      </c>
    </row>
    <row r="11" spans="1:7" x14ac:dyDescent="0.35">
      <c r="A11" s="191" t="s">
        <v>395</v>
      </c>
      <c r="B11" s="192">
        <f>4.382/1000000</f>
        <v>4.3819999999999997E-6</v>
      </c>
      <c r="C11" s="192">
        <v>0</v>
      </c>
      <c r="D11" s="192">
        <f>4.382/1000000</f>
        <v>4.3819999999999997E-6</v>
      </c>
      <c r="E11" s="192">
        <v>0</v>
      </c>
      <c r="F11" s="192">
        <f>876/1000000</f>
        <v>8.7600000000000004E-4</v>
      </c>
      <c r="G11" s="193">
        <v>0.2</v>
      </c>
    </row>
    <row r="12" spans="1:7" x14ac:dyDescent="0.35">
      <c r="A12" s="191" t="s">
        <v>396</v>
      </c>
      <c r="B12" s="192">
        <v>0</v>
      </c>
      <c r="C12" s="192">
        <v>0</v>
      </c>
      <c r="D12" s="192">
        <v>0</v>
      </c>
      <c r="E12" s="192">
        <v>0</v>
      </c>
      <c r="F12" s="192">
        <v>0</v>
      </c>
      <c r="G12" s="193">
        <v>0</v>
      </c>
    </row>
    <row r="13" spans="1:7" x14ac:dyDescent="0.35">
      <c r="A13" s="191" t="s">
        <v>397</v>
      </c>
      <c r="B13" s="192">
        <v>0</v>
      </c>
      <c r="C13" s="192">
        <v>0</v>
      </c>
      <c r="D13" s="192">
        <v>0</v>
      </c>
      <c r="E13" s="192">
        <v>0</v>
      </c>
      <c r="F13" s="192">
        <v>0</v>
      </c>
      <c r="G13" s="193">
        <v>0</v>
      </c>
    </row>
    <row r="14" spans="1:7" x14ac:dyDescent="0.35">
      <c r="A14" s="191" t="s">
        <v>398</v>
      </c>
      <c r="B14" s="192">
        <f>611872023/1000000</f>
        <v>611.87202300000001</v>
      </c>
      <c r="C14" s="192">
        <f>636601946/1000000</f>
        <v>636.601946</v>
      </c>
      <c r="D14" s="192">
        <f>639912989/1000000</f>
        <v>639.91298900000004</v>
      </c>
      <c r="E14" s="192">
        <f>216388983/1000000</f>
        <v>216.388983</v>
      </c>
      <c r="F14" s="192">
        <f>266087918/1000000</f>
        <v>266.087918</v>
      </c>
      <c r="G14" s="193">
        <v>0.311</v>
      </c>
    </row>
    <row r="15" spans="1:7" x14ac:dyDescent="0.35">
      <c r="A15" s="191" t="s">
        <v>399</v>
      </c>
      <c r="B15" s="192">
        <f>12807991736/1000000</f>
        <v>12807.991736</v>
      </c>
      <c r="C15" s="192">
        <f>8081025993/1000000</f>
        <v>8081.0259930000002</v>
      </c>
      <c r="D15" s="192">
        <f>12442088962/1000000</f>
        <v>12442.088962</v>
      </c>
      <c r="E15" s="192">
        <f>1004720299/1000000</f>
        <v>1004.720299</v>
      </c>
      <c r="F15" s="192">
        <f>12102717228/1000000</f>
        <v>12102.717228</v>
      </c>
      <c r="G15" s="193">
        <v>0.9</v>
      </c>
    </row>
    <row r="16" spans="1:7" x14ac:dyDescent="0.35">
      <c r="A16" s="191" t="s">
        <v>400</v>
      </c>
      <c r="B16" s="192">
        <f>25581246990/1000000</f>
        <v>25581.24699</v>
      </c>
      <c r="C16" s="192">
        <f>23530142585/1000000</f>
        <v>23530.142585000001</v>
      </c>
      <c r="D16" s="192">
        <f>25555478376/1000000</f>
        <v>25555.478375999999</v>
      </c>
      <c r="E16" s="192">
        <f>6661443213/1000000</f>
        <v>6661.4432129999996</v>
      </c>
      <c r="F16" s="192">
        <f>23143951258/1000000</f>
        <v>23143.951258000001</v>
      </c>
      <c r="G16" s="193">
        <v>0.71799999999999997</v>
      </c>
    </row>
    <row r="17" spans="1:7" x14ac:dyDescent="0.35">
      <c r="A17" s="191" t="s">
        <v>401</v>
      </c>
      <c r="B17" s="192">
        <f>4636322506/1000000</f>
        <v>4636.3225060000004</v>
      </c>
      <c r="C17" s="192">
        <f>7818624814/1000000</f>
        <v>7818.6248139999998</v>
      </c>
      <c r="D17" s="192">
        <f>4633749897/1000000</f>
        <v>4633.7498969999997</v>
      </c>
      <c r="E17" s="192">
        <f>7762896802/1000000</f>
        <v>7762.8968020000002</v>
      </c>
      <c r="F17" s="192">
        <f>4359860497/1000000</f>
        <v>4359.8604969999997</v>
      </c>
      <c r="G17" s="193">
        <v>0.35199999999999998</v>
      </c>
    </row>
    <row r="18" spans="1:7" x14ac:dyDescent="0.35">
      <c r="A18" s="191" t="s">
        <v>319</v>
      </c>
      <c r="B18" s="192">
        <f>1774857807/1000000</f>
        <v>1774.8578070000001</v>
      </c>
      <c r="C18" s="192">
        <f>813972602/1000000</f>
        <v>813.97260200000005</v>
      </c>
      <c r="D18" s="192">
        <f>1721340555/1000000</f>
        <v>1721.340555</v>
      </c>
      <c r="E18" s="192">
        <f>427024203/1000000</f>
        <v>427.024203</v>
      </c>
      <c r="F18" s="192">
        <f>2695340521/1000000</f>
        <v>2695.3405210000001</v>
      </c>
      <c r="G18" s="193">
        <v>1.2549999999999999</v>
      </c>
    </row>
    <row r="19" spans="1:7" ht="29" x14ac:dyDescent="0.35">
      <c r="A19" s="191" t="s">
        <v>402</v>
      </c>
      <c r="B19" s="192">
        <f>645191429/1000000</f>
        <v>645.19142899999997</v>
      </c>
      <c r="C19" s="192">
        <f>284078254/1000000</f>
        <v>284.07825400000002</v>
      </c>
      <c r="D19" s="192">
        <f>637189590/1000000</f>
        <v>637.18958999999995</v>
      </c>
      <c r="E19" s="192">
        <f>158976776/1000000</f>
        <v>158.976776</v>
      </c>
      <c r="F19" s="192">
        <f>1194249548/1000000</f>
        <v>1194.249548</v>
      </c>
      <c r="G19" s="193">
        <v>1.5</v>
      </c>
    </row>
    <row r="20" spans="1:7" ht="29" x14ac:dyDescent="0.35">
      <c r="A20" s="191" t="s">
        <v>403</v>
      </c>
      <c r="B20" s="192">
        <v>0</v>
      </c>
      <c r="C20" s="192">
        <v>0</v>
      </c>
      <c r="D20" s="192">
        <v>0</v>
      </c>
      <c r="E20" s="192">
        <v>0</v>
      </c>
      <c r="F20" s="192">
        <v>0</v>
      </c>
      <c r="G20" s="193">
        <v>0</v>
      </c>
    </row>
    <row r="21" spans="1:7" ht="29" x14ac:dyDescent="0.35">
      <c r="A21" s="191" t="s">
        <v>404</v>
      </c>
      <c r="B21" s="192">
        <v>0</v>
      </c>
      <c r="C21" s="192">
        <v>0</v>
      </c>
      <c r="D21" s="192">
        <v>0</v>
      </c>
      <c r="E21" s="192">
        <v>0</v>
      </c>
      <c r="F21" s="192">
        <v>0</v>
      </c>
      <c r="G21" s="193">
        <v>0</v>
      </c>
    </row>
    <row r="22" spans="1:7" x14ac:dyDescent="0.35">
      <c r="A22" s="191" t="s">
        <v>405</v>
      </c>
      <c r="B22" s="192">
        <f>9.543/1000000</f>
        <v>9.5429999999999999E-6</v>
      </c>
      <c r="C22" s="192">
        <v>0</v>
      </c>
      <c r="D22" s="192">
        <f>9.543/10000000</f>
        <v>9.5429999999999991E-7</v>
      </c>
      <c r="E22" s="192">
        <v>0</v>
      </c>
      <c r="F22" s="192">
        <f>119.291/1000000</f>
        <v>1.1929099999999999E-4</v>
      </c>
      <c r="G22" s="193">
        <v>12.5</v>
      </c>
    </row>
    <row r="23" spans="1:7" x14ac:dyDescent="0.35">
      <c r="A23" s="191" t="s">
        <v>238</v>
      </c>
      <c r="B23" s="192">
        <f>1708742212/1000000</f>
        <v>1708.7422120000001</v>
      </c>
      <c r="C23" s="192">
        <v>0</v>
      </c>
      <c r="D23" s="192">
        <f>1708742212/1000000</f>
        <v>1708.7422120000001</v>
      </c>
      <c r="E23" s="192">
        <v>0</v>
      </c>
      <c r="F23" s="192">
        <f>2318587921/1000000</f>
        <v>2318.5879209999998</v>
      </c>
      <c r="G23" s="193">
        <v>1.357</v>
      </c>
    </row>
    <row r="24" spans="1:7" x14ac:dyDescent="0.35">
      <c r="A24" s="191" t="s">
        <v>406</v>
      </c>
      <c r="B24" s="192">
        <f>2914338023/1000000</f>
        <v>2914.3380229999998</v>
      </c>
      <c r="C24" s="192">
        <f>44849872/1000000</f>
        <v>44.849871999999998</v>
      </c>
      <c r="D24" s="192">
        <f>3010617323/1000000</f>
        <v>3010.6173229999999</v>
      </c>
      <c r="E24" s="192">
        <f>44778377/1000000</f>
        <v>44.778376999999999</v>
      </c>
      <c r="F24" s="192">
        <f>2776308071/1000000</f>
        <v>2776.3080709999999</v>
      </c>
      <c r="G24" s="193">
        <v>0.90900000000000003</v>
      </c>
    </row>
    <row r="25" spans="1:7" x14ac:dyDescent="0.35">
      <c r="A25" s="194" t="s">
        <v>407</v>
      </c>
      <c r="B25" s="195">
        <f>59801460061/1000000</f>
        <v>59801.460060999998</v>
      </c>
      <c r="C25" s="195">
        <f>41221213412/1000000</f>
        <v>41221.213411999997</v>
      </c>
      <c r="D25" s="195">
        <f>59579744804/1000000</f>
        <v>59579.744804000002</v>
      </c>
      <c r="E25" s="195">
        <f>16277653451/1000000</f>
        <v>16277.653451</v>
      </c>
      <c r="F25" s="195">
        <f>48858804888/1000000</f>
        <v>48858.804887999999</v>
      </c>
      <c r="G25" s="196">
        <v>0.64400000000000002</v>
      </c>
    </row>
    <row r="29" spans="1:7" x14ac:dyDescent="0.35">
      <c r="B29" s="197"/>
      <c r="C29" s="197"/>
      <c r="D29" s="197"/>
      <c r="E29" s="197"/>
      <c r="F29" s="197"/>
      <c r="G29" s="197"/>
    </row>
  </sheetData>
  <mergeCells count="4">
    <mergeCell ref="A6:A8"/>
    <mergeCell ref="B6:C6"/>
    <mergeCell ref="D6:E6"/>
    <mergeCell ref="F6:G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7FA2-5C69-4C12-A3AE-FE98B5688AF2}">
  <dimension ref="A2:S24"/>
  <sheetViews>
    <sheetView workbookViewId="0">
      <selection activeCell="B3" sqref="B3"/>
    </sheetView>
  </sheetViews>
  <sheetFormatPr defaultRowHeight="14.5" x14ac:dyDescent="0.35"/>
  <cols>
    <col min="1" max="1" width="3.54296875" customWidth="1"/>
    <col min="2" max="2" width="47.81640625" customWidth="1"/>
    <col min="3" max="18" width="7.26953125" customWidth="1"/>
    <col min="19" max="19" width="9.7265625" customWidth="1"/>
  </cols>
  <sheetData>
    <row r="2" spans="1:19" ht="18.5" x14ac:dyDescent="0.45">
      <c r="A2" s="3" t="s">
        <v>408</v>
      </c>
    </row>
    <row r="5" spans="1:19" x14ac:dyDescent="0.35">
      <c r="A5" s="198"/>
      <c r="B5" s="543" t="s">
        <v>409</v>
      </c>
      <c r="C5" s="544" t="s">
        <v>410</v>
      </c>
      <c r="D5" s="545"/>
      <c r="E5" s="545"/>
      <c r="F5" s="545"/>
      <c r="G5" s="545"/>
      <c r="H5" s="545"/>
      <c r="I5" s="545"/>
      <c r="J5" s="545"/>
      <c r="K5" s="545"/>
      <c r="L5" s="545"/>
      <c r="M5" s="545"/>
      <c r="N5" s="545"/>
      <c r="O5" s="545"/>
      <c r="P5" s="545"/>
      <c r="Q5" s="546"/>
      <c r="R5" s="547" t="s">
        <v>300</v>
      </c>
      <c r="S5" s="548" t="s">
        <v>411</v>
      </c>
    </row>
    <row r="6" spans="1:19" x14ac:dyDescent="0.35">
      <c r="A6" s="202"/>
      <c r="B6" s="543"/>
      <c r="C6" s="203">
        <v>0</v>
      </c>
      <c r="D6" s="204">
        <v>0.02</v>
      </c>
      <c r="E6" s="203">
        <v>0.04</v>
      </c>
      <c r="F6" s="204">
        <v>0.1</v>
      </c>
      <c r="G6" s="204">
        <v>0.2</v>
      </c>
      <c r="H6" s="204">
        <v>0.35</v>
      </c>
      <c r="I6" s="204">
        <v>0.5</v>
      </c>
      <c r="J6" s="204">
        <v>0.7</v>
      </c>
      <c r="K6" s="204">
        <v>0.75</v>
      </c>
      <c r="L6" s="201">
        <v>1</v>
      </c>
      <c r="M6" s="201">
        <v>1.5</v>
      </c>
      <c r="N6" s="201">
        <v>2.5</v>
      </c>
      <c r="O6" s="201">
        <v>3.7</v>
      </c>
      <c r="P6" s="201">
        <v>12.5</v>
      </c>
      <c r="Q6" s="201" t="s">
        <v>412</v>
      </c>
      <c r="R6" s="547"/>
      <c r="S6" s="548"/>
    </row>
    <row r="7" spans="1:19" x14ac:dyDescent="0.35">
      <c r="A7" s="205"/>
      <c r="B7" s="543"/>
      <c r="C7" s="206" t="s">
        <v>226</v>
      </c>
      <c r="D7" s="206" t="s">
        <v>227</v>
      </c>
      <c r="E7" s="206" t="s">
        <v>228</v>
      </c>
      <c r="F7" s="206" t="s">
        <v>275</v>
      </c>
      <c r="G7" s="206" t="s">
        <v>276</v>
      </c>
      <c r="H7" s="206" t="s">
        <v>277</v>
      </c>
      <c r="I7" s="206" t="s">
        <v>278</v>
      </c>
      <c r="J7" s="206" t="s">
        <v>279</v>
      </c>
      <c r="K7" s="206" t="s">
        <v>280</v>
      </c>
      <c r="L7" s="206" t="s">
        <v>281</v>
      </c>
      <c r="M7" s="206" t="s">
        <v>282</v>
      </c>
      <c r="N7" s="206" t="s">
        <v>283</v>
      </c>
      <c r="O7" s="206" t="s">
        <v>284</v>
      </c>
      <c r="P7" s="206" t="s">
        <v>312</v>
      </c>
      <c r="Q7" s="206" t="s">
        <v>313</v>
      </c>
      <c r="R7" s="207" t="s">
        <v>413</v>
      </c>
      <c r="S7" s="207" t="s">
        <v>414</v>
      </c>
    </row>
    <row r="8" spans="1:19" x14ac:dyDescent="0.35">
      <c r="A8" s="208">
        <v>1</v>
      </c>
      <c r="B8" s="209" t="s">
        <v>393</v>
      </c>
      <c r="C8" s="210">
        <v>9220.2000000000007</v>
      </c>
      <c r="D8" s="211">
        <v>0</v>
      </c>
      <c r="E8" s="211">
        <v>0</v>
      </c>
      <c r="F8" s="211">
        <v>0</v>
      </c>
      <c r="G8" s="212">
        <v>0</v>
      </c>
      <c r="H8" s="212">
        <v>0</v>
      </c>
      <c r="I8" s="212">
        <v>0</v>
      </c>
      <c r="J8" s="211">
        <v>0</v>
      </c>
      <c r="K8" s="212">
        <v>0</v>
      </c>
      <c r="L8" s="212">
        <v>1.6</v>
      </c>
      <c r="M8" s="212">
        <v>0</v>
      </c>
      <c r="N8" s="212">
        <v>0</v>
      </c>
      <c r="O8" s="211">
        <v>0</v>
      </c>
      <c r="P8" s="211">
        <v>0</v>
      </c>
      <c r="Q8" s="211">
        <v>0</v>
      </c>
      <c r="R8" s="213">
        <f t="shared" ref="R8:R24" si="0">SUM(C8:Q8)</f>
        <v>9221.8000000000011</v>
      </c>
      <c r="S8" s="214">
        <v>0</v>
      </c>
    </row>
    <row r="9" spans="1:19" x14ac:dyDescent="0.35">
      <c r="A9" s="208">
        <v>2</v>
      </c>
      <c r="B9" s="215" t="s">
        <v>394</v>
      </c>
      <c r="C9" s="210">
        <v>10.199999999999999</v>
      </c>
      <c r="D9" s="211">
        <v>0</v>
      </c>
      <c r="E9" s="211">
        <v>0</v>
      </c>
      <c r="F9" s="211">
        <v>0</v>
      </c>
      <c r="G9" s="212">
        <v>0</v>
      </c>
      <c r="H9" s="212">
        <v>0</v>
      </c>
      <c r="I9" s="212">
        <v>0</v>
      </c>
      <c r="J9" s="211">
        <v>0</v>
      </c>
      <c r="K9" s="212">
        <v>0</v>
      </c>
      <c r="L9" s="212">
        <v>0</v>
      </c>
      <c r="M9" s="212">
        <v>0</v>
      </c>
      <c r="N9" s="212">
        <v>0</v>
      </c>
      <c r="O9" s="211">
        <v>0</v>
      </c>
      <c r="P9" s="211">
        <v>0</v>
      </c>
      <c r="Q9" s="211">
        <v>0</v>
      </c>
      <c r="R9" s="213">
        <f t="shared" si="0"/>
        <v>10.199999999999999</v>
      </c>
      <c r="S9" s="214">
        <v>0</v>
      </c>
    </row>
    <row r="10" spans="1:19" x14ac:dyDescent="0.35">
      <c r="A10" s="208">
        <v>3</v>
      </c>
      <c r="B10" s="215" t="s">
        <v>395</v>
      </c>
      <c r="C10" s="210">
        <v>0</v>
      </c>
      <c r="D10" s="211">
        <v>0</v>
      </c>
      <c r="E10" s="211">
        <v>0</v>
      </c>
      <c r="F10" s="211">
        <v>0</v>
      </c>
      <c r="G10" s="212">
        <v>0</v>
      </c>
      <c r="H10" s="212">
        <v>0</v>
      </c>
      <c r="I10" s="212">
        <v>0</v>
      </c>
      <c r="J10" s="211">
        <v>0</v>
      </c>
      <c r="K10" s="212">
        <v>0</v>
      </c>
      <c r="L10" s="212">
        <v>0</v>
      </c>
      <c r="M10" s="212">
        <v>0</v>
      </c>
      <c r="N10" s="212">
        <v>0</v>
      </c>
      <c r="O10" s="211">
        <v>0</v>
      </c>
      <c r="P10" s="211">
        <v>0</v>
      </c>
      <c r="Q10" s="211">
        <v>0</v>
      </c>
      <c r="R10" s="213">
        <f t="shared" si="0"/>
        <v>0</v>
      </c>
      <c r="S10" s="214">
        <v>0</v>
      </c>
    </row>
    <row r="11" spans="1:19" x14ac:dyDescent="0.35">
      <c r="A11" s="208">
        <v>4</v>
      </c>
      <c r="B11" s="215" t="s">
        <v>396</v>
      </c>
      <c r="C11" s="210">
        <v>0</v>
      </c>
      <c r="D11" s="211">
        <v>0</v>
      </c>
      <c r="E11" s="211">
        <v>0</v>
      </c>
      <c r="F11" s="211">
        <v>0</v>
      </c>
      <c r="G11" s="212">
        <v>0</v>
      </c>
      <c r="H11" s="212">
        <v>0</v>
      </c>
      <c r="I11" s="212">
        <v>0</v>
      </c>
      <c r="J11" s="211">
        <v>0</v>
      </c>
      <c r="K11" s="212">
        <v>0</v>
      </c>
      <c r="L11" s="212">
        <v>0</v>
      </c>
      <c r="M11" s="212">
        <v>0</v>
      </c>
      <c r="N11" s="212">
        <v>0</v>
      </c>
      <c r="O11" s="211">
        <v>0</v>
      </c>
      <c r="P11" s="211">
        <v>0</v>
      </c>
      <c r="Q11" s="211">
        <v>0</v>
      </c>
      <c r="R11" s="213">
        <f t="shared" si="0"/>
        <v>0</v>
      </c>
      <c r="S11" s="214">
        <v>0</v>
      </c>
    </row>
    <row r="12" spans="1:19" x14ac:dyDescent="0.35">
      <c r="A12" s="208">
        <v>5</v>
      </c>
      <c r="B12" s="215" t="s">
        <v>397</v>
      </c>
      <c r="C12" s="210">
        <v>0</v>
      </c>
      <c r="D12" s="211">
        <v>0</v>
      </c>
      <c r="E12" s="211">
        <v>0</v>
      </c>
      <c r="F12" s="211">
        <v>0</v>
      </c>
      <c r="G12" s="212">
        <v>0</v>
      </c>
      <c r="H12" s="212">
        <v>0</v>
      </c>
      <c r="I12" s="212">
        <v>0</v>
      </c>
      <c r="J12" s="211">
        <v>0</v>
      </c>
      <c r="K12" s="212">
        <v>0</v>
      </c>
      <c r="L12" s="212">
        <v>0</v>
      </c>
      <c r="M12" s="212">
        <v>0</v>
      </c>
      <c r="N12" s="212">
        <v>0</v>
      </c>
      <c r="O12" s="211">
        <v>0</v>
      </c>
      <c r="P12" s="211">
        <v>0</v>
      </c>
      <c r="Q12" s="211">
        <v>0</v>
      </c>
      <c r="R12" s="213">
        <f t="shared" si="0"/>
        <v>0</v>
      </c>
      <c r="S12" s="214">
        <v>0</v>
      </c>
    </row>
    <row r="13" spans="1:19" x14ac:dyDescent="0.35">
      <c r="A13" s="208">
        <v>6</v>
      </c>
      <c r="B13" s="215" t="s">
        <v>398</v>
      </c>
      <c r="C13" s="210">
        <v>36.9</v>
      </c>
      <c r="D13" s="211">
        <v>0</v>
      </c>
      <c r="E13" s="211">
        <v>0</v>
      </c>
      <c r="F13" s="211">
        <v>0</v>
      </c>
      <c r="G13" s="212">
        <v>488.9</v>
      </c>
      <c r="H13" s="212">
        <v>0</v>
      </c>
      <c r="I13" s="212">
        <v>326.3</v>
      </c>
      <c r="J13" s="211">
        <v>0</v>
      </c>
      <c r="K13" s="212">
        <v>0</v>
      </c>
      <c r="L13" s="212">
        <v>2.4</v>
      </c>
      <c r="M13" s="212">
        <v>1.8</v>
      </c>
      <c r="N13" s="212">
        <v>0</v>
      </c>
      <c r="O13" s="211">
        <v>0</v>
      </c>
      <c r="P13" s="211">
        <v>0</v>
      </c>
      <c r="Q13" s="211">
        <v>0</v>
      </c>
      <c r="R13" s="213">
        <f t="shared" si="0"/>
        <v>856.29999999999984</v>
      </c>
      <c r="S13" s="213">
        <f>313944230/1000000</f>
        <v>313.94423</v>
      </c>
    </row>
    <row r="14" spans="1:19" x14ac:dyDescent="0.35">
      <c r="A14" s="208">
        <v>7</v>
      </c>
      <c r="B14" s="215" t="s">
        <v>399</v>
      </c>
      <c r="C14" s="210">
        <v>0</v>
      </c>
      <c r="D14" s="211">
        <v>0</v>
      </c>
      <c r="E14" s="211">
        <v>0</v>
      </c>
      <c r="F14" s="211">
        <v>0</v>
      </c>
      <c r="G14" s="212">
        <v>0</v>
      </c>
      <c r="H14" s="212">
        <v>0</v>
      </c>
      <c r="I14" s="212">
        <v>0</v>
      </c>
      <c r="J14" s="211">
        <v>0</v>
      </c>
      <c r="K14" s="212">
        <v>0</v>
      </c>
      <c r="L14" s="212">
        <v>13446.8</v>
      </c>
      <c r="M14" s="212">
        <v>0</v>
      </c>
      <c r="N14" s="212">
        <v>0</v>
      </c>
      <c r="O14" s="211">
        <v>0</v>
      </c>
      <c r="P14" s="211">
        <v>0</v>
      </c>
      <c r="Q14" s="211">
        <v>0</v>
      </c>
      <c r="R14" s="213">
        <f t="shared" si="0"/>
        <v>13446.8</v>
      </c>
      <c r="S14" s="213">
        <f>73161657/1000000</f>
        <v>73.161657000000005</v>
      </c>
    </row>
    <row r="15" spans="1:19" x14ac:dyDescent="0.35">
      <c r="A15" s="208">
        <v>8</v>
      </c>
      <c r="B15" s="215" t="s">
        <v>400</v>
      </c>
      <c r="C15" s="210">
        <v>0</v>
      </c>
      <c r="D15" s="211">
        <v>0</v>
      </c>
      <c r="E15" s="211">
        <v>0</v>
      </c>
      <c r="F15" s="211">
        <v>0</v>
      </c>
      <c r="G15" s="212">
        <v>0</v>
      </c>
      <c r="H15" s="212">
        <v>0</v>
      </c>
      <c r="I15" s="212">
        <v>0</v>
      </c>
      <c r="J15" s="211">
        <v>0</v>
      </c>
      <c r="K15" s="212">
        <v>32062</v>
      </c>
      <c r="L15" s="212">
        <v>0</v>
      </c>
      <c r="M15" s="212">
        <v>0</v>
      </c>
      <c r="N15" s="212">
        <v>0</v>
      </c>
      <c r="O15" s="211">
        <v>0</v>
      </c>
      <c r="P15" s="211">
        <v>0</v>
      </c>
      <c r="Q15" s="211">
        <v>0</v>
      </c>
      <c r="R15" s="213">
        <f t="shared" si="0"/>
        <v>32062</v>
      </c>
      <c r="S15" s="214">
        <v>0</v>
      </c>
    </row>
    <row r="16" spans="1:19" x14ac:dyDescent="0.35">
      <c r="A16" s="208">
        <v>9</v>
      </c>
      <c r="B16" s="215" t="s">
        <v>401</v>
      </c>
      <c r="C16" s="210">
        <v>0</v>
      </c>
      <c r="D16" s="211">
        <v>0</v>
      </c>
      <c r="E16" s="211">
        <v>0</v>
      </c>
      <c r="F16" s="211">
        <v>0</v>
      </c>
      <c r="G16" s="212">
        <v>0</v>
      </c>
      <c r="H16" s="212">
        <v>11079.9</v>
      </c>
      <c r="I16" s="212">
        <v>1316.8</v>
      </c>
      <c r="J16" s="211">
        <v>0</v>
      </c>
      <c r="K16" s="212">
        <v>0</v>
      </c>
      <c r="L16" s="212">
        <v>0</v>
      </c>
      <c r="M16" s="212">
        <v>-2.4</v>
      </c>
      <c r="N16" s="212">
        <v>0</v>
      </c>
      <c r="O16" s="211">
        <v>0</v>
      </c>
      <c r="P16" s="211">
        <v>0</v>
      </c>
      <c r="Q16" s="211">
        <v>0</v>
      </c>
      <c r="R16" s="213">
        <f t="shared" si="0"/>
        <v>12394.3</v>
      </c>
      <c r="S16" s="214">
        <v>0</v>
      </c>
    </row>
    <row r="17" spans="1:19" x14ac:dyDescent="0.35">
      <c r="A17" s="208">
        <v>10</v>
      </c>
      <c r="B17" s="215" t="s">
        <v>319</v>
      </c>
      <c r="C17" s="210">
        <v>0</v>
      </c>
      <c r="D17" s="211">
        <v>0</v>
      </c>
      <c r="E17" s="211">
        <v>0</v>
      </c>
      <c r="F17" s="211">
        <v>0</v>
      </c>
      <c r="G17" s="212">
        <v>0</v>
      </c>
      <c r="H17" s="212">
        <v>0</v>
      </c>
      <c r="I17" s="212">
        <v>0</v>
      </c>
      <c r="J17" s="211">
        <v>0</v>
      </c>
      <c r="K17" s="212">
        <v>0</v>
      </c>
      <c r="L17" s="212">
        <v>1054.4000000000001</v>
      </c>
      <c r="M17" s="212">
        <v>1096.3</v>
      </c>
      <c r="N17" s="212">
        <v>0</v>
      </c>
      <c r="O17" s="211">
        <v>0</v>
      </c>
      <c r="P17" s="211">
        <v>0</v>
      </c>
      <c r="Q17" s="211">
        <v>0</v>
      </c>
      <c r="R17" s="213">
        <f t="shared" si="0"/>
        <v>2150.6999999999998</v>
      </c>
      <c r="S17" s="214">
        <v>0</v>
      </c>
    </row>
    <row r="18" spans="1:19" x14ac:dyDescent="0.35">
      <c r="A18" s="208">
        <v>11</v>
      </c>
      <c r="B18" s="215" t="s">
        <v>402</v>
      </c>
      <c r="C18" s="210">
        <v>0</v>
      </c>
      <c r="D18" s="211">
        <v>0</v>
      </c>
      <c r="E18" s="211">
        <v>0</v>
      </c>
      <c r="F18" s="211">
        <v>0</v>
      </c>
      <c r="G18" s="212">
        <v>0</v>
      </c>
      <c r="H18" s="212">
        <v>0</v>
      </c>
      <c r="I18" s="212">
        <v>0</v>
      </c>
      <c r="J18" s="211">
        <v>0</v>
      </c>
      <c r="K18" s="212">
        <v>0</v>
      </c>
      <c r="L18" s="212">
        <v>0</v>
      </c>
      <c r="M18" s="212">
        <v>796.2</v>
      </c>
      <c r="N18" s="212">
        <v>0</v>
      </c>
      <c r="O18" s="211">
        <v>0</v>
      </c>
      <c r="P18" s="211">
        <v>0</v>
      </c>
      <c r="Q18" s="211">
        <v>0</v>
      </c>
      <c r="R18" s="213">
        <f t="shared" si="0"/>
        <v>796.2</v>
      </c>
      <c r="S18" s="214">
        <v>0</v>
      </c>
    </row>
    <row r="19" spans="1:19" x14ac:dyDescent="0.35">
      <c r="A19" s="208">
        <v>12</v>
      </c>
      <c r="B19" s="215" t="s">
        <v>403</v>
      </c>
      <c r="C19" s="210">
        <v>0</v>
      </c>
      <c r="D19" s="211">
        <v>0</v>
      </c>
      <c r="E19" s="211">
        <v>0</v>
      </c>
      <c r="F19" s="211">
        <v>0</v>
      </c>
      <c r="G19" s="212">
        <v>0</v>
      </c>
      <c r="H19" s="212">
        <v>0</v>
      </c>
      <c r="I19" s="212">
        <v>0</v>
      </c>
      <c r="J19" s="211">
        <v>0</v>
      </c>
      <c r="K19" s="212">
        <v>0</v>
      </c>
      <c r="L19" s="212">
        <v>0</v>
      </c>
      <c r="M19" s="212">
        <v>0</v>
      </c>
      <c r="N19" s="212">
        <v>0</v>
      </c>
      <c r="O19" s="211">
        <v>0</v>
      </c>
      <c r="P19" s="211">
        <v>0</v>
      </c>
      <c r="Q19" s="211">
        <v>0</v>
      </c>
      <c r="R19" s="213">
        <f t="shared" si="0"/>
        <v>0</v>
      </c>
      <c r="S19" s="214">
        <v>0</v>
      </c>
    </row>
    <row r="20" spans="1:19" x14ac:dyDescent="0.35">
      <c r="A20" s="208">
        <v>13</v>
      </c>
      <c r="B20" s="215" t="s">
        <v>404</v>
      </c>
      <c r="C20" s="210">
        <v>0</v>
      </c>
      <c r="D20" s="211">
        <v>0</v>
      </c>
      <c r="E20" s="211">
        <v>0</v>
      </c>
      <c r="F20" s="211">
        <v>0</v>
      </c>
      <c r="G20" s="212">
        <v>0</v>
      </c>
      <c r="H20" s="212">
        <v>0</v>
      </c>
      <c r="I20" s="212">
        <v>0</v>
      </c>
      <c r="J20" s="211">
        <v>0</v>
      </c>
      <c r="K20" s="212">
        <v>0</v>
      </c>
      <c r="L20" s="212">
        <v>0</v>
      </c>
      <c r="M20" s="212">
        <v>0</v>
      </c>
      <c r="N20" s="212">
        <v>0</v>
      </c>
      <c r="O20" s="211">
        <v>0</v>
      </c>
      <c r="P20" s="211">
        <v>0</v>
      </c>
      <c r="Q20" s="211">
        <v>0</v>
      </c>
      <c r="R20" s="213">
        <f t="shared" si="0"/>
        <v>0</v>
      </c>
      <c r="S20" s="214">
        <v>0</v>
      </c>
    </row>
    <row r="21" spans="1:19" x14ac:dyDescent="0.35">
      <c r="A21" s="208">
        <v>14</v>
      </c>
      <c r="B21" s="215" t="s">
        <v>405</v>
      </c>
      <c r="C21" s="210">
        <v>0</v>
      </c>
      <c r="D21" s="211">
        <v>0</v>
      </c>
      <c r="E21" s="211">
        <v>0</v>
      </c>
      <c r="F21" s="211">
        <v>0</v>
      </c>
      <c r="G21" s="212">
        <v>0</v>
      </c>
      <c r="H21" s="212">
        <v>0</v>
      </c>
      <c r="I21" s="212">
        <v>0</v>
      </c>
      <c r="J21" s="211">
        <v>0</v>
      </c>
      <c r="K21" s="212">
        <v>0</v>
      </c>
      <c r="L21" s="212">
        <v>0</v>
      </c>
      <c r="M21" s="212">
        <v>0</v>
      </c>
      <c r="N21" s="212">
        <v>0</v>
      </c>
      <c r="O21" s="211">
        <v>0</v>
      </c>
      <c r="P21" s="211">
        <v>0</v>
      </c>
      <c r="Q21" s="211">
        <v>0</v>
      </c>
      <c r="R21" s="213">
        <f t="shared" si="0"/>
        <v>0</v>
      </c>
      <c r="S21" s="214">
        <v>0</v>
      </c>
    </row>
    <row r="22" spans="1:19" x14ac:dyDescent="0.35">
      <c r="A22" s="208">
        <v>15</v>
      </c>
      <c r="B22" s="215" t="s">
        <v>238</v>
      </c>
      <c r="C22" s="210">
        <v>120.6</v>
      </c>
      <c r="D22" s="211">
        <v>0</v>
      </c>
      <c r="E22" s="211">
        <v>0</v>
      </c>
      <c r="F22" s="211">
        <v>0</v>
      </c>
      <c r="G22" s="212">
        <v>0</v>
      </c>
      <c r="H22" s="212">
        <v>0</v>
      </c>
      <c r="I22" s="212">
        <v>0</v>
      </c>
      <c r="J22" s="211">
        <v>0</v>
      </c>
      <c r="K22" s="212">
        <v>0</v>
      </c>
      <c r="L22" s="212">
        <v>1101.2</v>
      </c>
      <c r="M22" s="212">
        <v>0</v>
      </c>
      <c r="N22" s="212">
        <v>486.9</v>
      </c>
      <c r="O22" s="211">
        <v>0</v>
      </c>
      <c r="P22" s="211">
        <v>0</v>
      </c>
      <c r="Q22" s="211">
        <v>0</v>
      </c>
      <c r="R22" s="213">
        <f t="shared" si="0"/>
        <v>1708.6999999999998</v>
      </c>
      <c r="S22" s="214">
        <v>0</v>
      </c>
    </row>
    <row r="23" spans="1:19" x14ac:dyDescent="0.35">
      <c r="A23" s="208">
        <v>16</v>
      </c>
      <c r="B23" s="215" t="s">
        <v>406</v>
      </c>
      <c r="C23" s="210">
        <v>363.7</v>
      </c>
      <c r="D23" s="211">
        <v>0</v>
      </c>
      <c r="E23" s="211">
        <v>0</v>
      </c>
      <c r="F23" s="211">
        <v>0</v>
      </c>
      <c r="G23" s="212">
        <v>0</v>
      </c>
      <c r="H23" s="212">
        <v>0</v>
      </c>
      <c r="I23" s="212">
        <v>0</v>
      </c>
      <c r="J23" s="211">
        <v>0</v>
      </c>
      <c r="K23" s="212">
        <v>0</v>
      </c>
      <c r="L23" s="212">
        <v>2635.4</v>
      </c>
      <c r="M23" s="212">
        <v>0</v>
      </c>
      <c r="N23" s="212">
        <v>56.4</v>
      </c>
      <c r="O23" s="211">
        <v>0</v>
      </c>
      <c r="P23" s="211">
        <v>0</v>
      </c>
      <c r="Q23" s="211">
        <v>0</v>
      </c>
      <c r="R23" s="213">
        <f t="shared" si="0"/>
        <v>3055.5</v>
      </c>
      <c r="S23" s="214">
        <v>0</v>
      </c>
    </row>
    <row r="24" spans="1:19" x14ac:dyDescent="0.35">
      <c r="A24" s="216">
        <v>17</v>
      </c>
      <c r="B24" s="217" t="s">
        <v>407</v>
      </c>
      <c r="C24" s="218">
        <f t="shared" ref="C24:N24" si="1">SUM(C8:C23)</f>
        <v>9751.6000000000022</v>
      </c>
      <c r="D24" s="218">
        <f t="shared" si="1"/>
        <v>0</v>
      </c>
      <c r="E24" s="218">
        <f t="shared" si="1"/>
        <v>0</v>
      </c>
      <c r="F24" s="218">
        <f t="shared" si="1"/>
        <v>0</v>
      </c>
      <c r="G24" s="218">
        <f t="shared" si="1"/>
        <v>488.9</v>
      </c>
      <c r="H24" s="218">
        <f t="shared" si="1"/>
        <v>11079.9</v>
      </c>
      <c r="I24" s="218">
        <f t="shared" si="1"/>
        <v>1643.1</v>
      </c>
      <c r="J24" s="218">
        <f t="shared" si="1"/>
        <v>0</v>
      </c>
      <c r="K24" s="219">
        <f t="shared" si="1"/>
        <v>32062</v>
      </c>
      <c r="L24" s="219">
        <f t="shared" si="1"/>
        <v>18241.8</v>
      </c>
      <c r="M24" s="219">
        <f t="shared" si="1"/>
        <v>1891.9</v>
      </c>
      <c r="N24" s="219">
        <f t="shared" si="1"/>
        <v>543.29999999999995</v>
      </c>
      <c r="O24" s="220">
        <v>0</v>
      </c>
      <c r="P24" s="219">
        <f>SUM(P8:P23)</f>
        <v>0</v>
      </c>
      <c r="Q24" s="219">
        <f>SUM(Q8:Q23)</f>
        <v>0</v>
      </c>
      <c r="R24" s="219">
        <f t="shared" si="0"/>
        <v>75702.5</v>
      </c>
      <c r="S24" s="219">
        <f>SUM(S8:S23)</f>
        <v>387.105887</v>
      </c>
    </row>
  </sheetData>
  <mergeCells count="4">
    <mergeCell ref="B5:B7"/>
    <mergeCell ref="C5:Q5"/>
    <mergeCell ref="R5:R6"/>
    <mergeCell ref="S5:S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FD374-A678-497B-B033-79DC3E8C7549}">
  <dimension ref="A3:J18"/>
  <sheetViews>
    <sheetView workbookViewId="0">
      <selection activeCell="D13" sqref="D13"/>
    </sheetView>
  </sheetViews>
  <sheetFormatPr defaultRowHeight="14.5" x14ac:dyDescent="0.35"/>
  <cols>
    <col min="2" max="2" width="41.54296875" customWidth="1"/>
    <col min="3" max="5" width="15" customWidth="1"/>
    <col min="6" max="6" width="16.81640625" customWidth="1"/>
    <col min="7" max="8" width="15" customWidth="1"/>
    <col min="9" max="9" width="16.1796875" customWidth="1"/>
    <col min="10" max="10" width="15" customWidth="1"/>
  </cols>
  <sheetData>
    <row r="3" spans="1:10" ht="18.5" x14ac:dyDescent="0.35">
      <c r="A3" s="231" t="s">
        <v>415</v>
      </c>
      <c r="B3" s="221"/>
    </row>
    <row r="4" spans="1:10" ht="15.5" x14ac:dyDescent="0.35">
      <c r="A4" s="232" t="s">
        <v>416</v>
      </c>
    </row>
    <row r="5" spans="1:10" x14ac:dyDescent="0.35">
      <c r="A5" s="222"/>
      <c r="B5" s="223"/>
      <c r="C5" s="224"/>
      <c r="D5" s="224"/>
      <c r="E5" s="224"/>
      <c r="F5" s="224"/>
      <c r="G5" s="224"/>
      <c r="H5" s="224"/>
      <c r="I5" s="224"/>
      <c r="J5" s="224"/>
    </row>
    <row r="6" spans="1:10" x14ac:dyDescent="0.35">
      <c r="A6" s="225"/>
      <c r="B6" s="226"/>
      <c r="C6" s="227" t="s">
        <v>226</v>
      </c>
      <c r="D6" s="227" t="s">
        <v>227</v>
      </c>
      <c r="E6" s="227" t="s">
        <v>228</v>
      </c>
      <c r="F6" s="227" t="s">
        <v>275</v>
      </c>
      <c r="G6" s="227" t="s">
        <v>276</v>
      </c>
      <c r="H6" s="227" t="s">
        <v>277</v>
      </c>
      <c r="I6" s="227" t="s">
        <v>278</v>
      </c>
      <c r="J6" s="227" t="s">
        <v>279</v>
      </c>
    </row>
    <row r="7" spans="1:10" ht="62.5" x14ac:dyDescent="0.35">
      <c r="A7" s="225"/>
      <c r="B7" s="226" t="s">
        <v>62</v>
      </c>
      <c r="C7" s="227" t="s">
        <v>417</v>
      </c>
      <c r="D7" s="227" t="s">
        <v>418</v>
      </c>
      <c r="E7" s="227" t="s">
        <v>419</v>
      </c>
      <c r="F7" s="227" t="s">
        <v>420</v>
      </c>
      <c r="G7" s="227" t="s">
        <v>421</v>
      </c>
      <c r="H7" s="227" t="s">
        <v>422</v>
      </c>
      <c r="I7" s="227" t="s">
        <v>423</v>
      </c>
      <c r="J7" s="227" t="s">
        <v>290</v>
      </c>
    </row>
    <row r="8" spans="1:10" ht="25" x14ac:dyDescent="0.35">
      <c r="A8" s="227" t="s">
        <v>424</v>
      </c>
      <c r="B8" s="228" t="s">
        <v>425</v>
      </c>
      <c r="C8" s="238"/>
      <c r="D8" s="238"/>
      <c r="E8" s="239"/>
      <c r="F8" s="240" t="s">
        <v>426</v>
      </c>
      <c r="G8" s="240"/>
      <c r="H8" s="241"/>
      <c r="I8" s="241"/>
      <c r="J8" s="241"/>
    </row>
    <row r="9" spans="1:10" ht="25" x14ac:dyDescent="0.35">
      <c r="A9" s="227" t="s">
        <v>427</v>
      </c>
      <c r="B9" s="228" t="s">
        <v>428</v>
      </c>
      <c r="C9" s="242"/>
      <c r="D9" s="242"/>
      <c r="E9" s="243"/>
      <c r="F9" s="244" t="s">
        <v>426</v>
      </c>
      <c r="G9" s="244"/>
      <c r="H9" s="242"/>
      <c r="I9" s="242"/>
      <c r="J9" s="242"/>
    </row>
    <row r="10" spans="1:10" ht="25" x14ac:dyDescent="0.35">
      <c r="A10" s="227">
        <v>1</v>
      </c>
      <c r="B10" s="228" t="s">
        <v>429</v>
      </c>
      <c r="C10" s="245">
        <v>82.09206691</v>
      </c>
      <c r="D10" s="245">
        <v>342.75851849999998</v>
      </c>
      <c r="E10" s="246"/>
      <c r="F10" s="247"/>
      <c r="G10" s="247">
        <v>1021.0290778899999</v>
      </c>
      <c r="H10" s="245">
        <v>778.27129903999992</v>
      </c>
      <c r="I10" s="245">
        <v>778.27129903999992</v>
      </c>
      <c r="J10" s="245">
        <v>242.57046369709593</v>
      </c>
    </row>
    <row r="11" spans="1:10" ht="37.5" x14ac:dyDescent="0.35">
      <c r="A11" s="227">
        <v>2</v>
      </c>
      <c r="B11" s="226" t="s">
        <v>430</v>
      </c>
      <c r="C11" s="246"/>
      <c r="D11" s="246"/>
      <c r="E11" s="245"/>
      <c r="F11" s="245"/>
      <c r="G11" s="245"/>
      <c r="H11" s="245"/>
      <c r="I11" s="245"/>
      <c r="J11" s="245"/>
    </row>
    <row r="12" spans="1:10" ht="26" x14ac:dyDescent="0.35">
      <c r="A12" s="227" t="s">
        <v>431</v>
      </c>
      <c r="B12" s="229" t="s">
        <v>432</v>
      </c>
      <c r="C12" s="246"/>
      <c r="D12" s="246"/>
      <c r="E12" s="245"/>
      <c r="F12" s="246"/>
      <c r="G12" s="245"/>
      <c r="H12" s="245"/>
      <c r="I12" s="245"/>
      <c r="J12" s="245"/>
    </row>
    <row r="13" spans="1:10" ht="26" x14ac:dyDescent="0.35">
      <c r="A13" s="227" t="s">
        <v>433</v>
      </c>
      <c r="B13" s="229" t="s">
        <v>434</v>
      </c>
      <c r="C13" s="246"/>
      <c r="D13" s="246"/>
      <c r="E13" s="245"/>
      <c r="F13" s="246"/>
      <c r="G13" s="245"/>
      <c r="H13" s="245"/>
      <c r="I13" s="245"/>
      <c r="J13" s="245"/>
    </row>
    <row r="14" spans="1:10" ht="26" x14ac:dyDescent="0.35">
      <c r="A14" s="227" t="s">
        <v>435</v>
      </c>
      <c r="B14" s="229" t="s">
        <v>436</v>
      </c>
      <c r="C14" s="246"/>
      <c r="D14" s="246"/>
      <c r="E14" s="245"/>
      <c r="F14" s="246"/>
      <c r="G14" s="245"/>
      <c r="H14" s="245"/>
      <c r="I14" s="245"/>
      <c r="J14" s="245"/>
    </row>
    <row r="15" spans="1:10" ht="25" x14ac:dyDescent="0.35">
      <c r="A15" s="227">
        <v>3</v>
      </c>
      <c r="B15" s="226" t="s">
        <v>437</v>
      </c>
      <c r="C15" s="246"/>
      <c r="D15" s="246"/>
      <c r="E15" s="246"/>
      <c r="F15" s="246"/>
      <c r="G15" s="245"/>
      <c r="H15" s="245"/>
      <c r="I15" s="245"/>
      <c r="J15" s="245"/>
    </row>
    <row r="16" spans="1:10" ht="25" x14ac:dyDescent="0.35">
      <c r="A16" s="227">
        <v>4</v>
      </c>
      <c r="B16" s="226" t="s">
        <v>438</v>
      </c>
      <c r="C16" s="246"/>
      <c r="D16" s="246"/>
      <c r="E16" s="246"/>
      <c r="F16" s="246"/>
      <c r="G16" s="245">
        <v>925.55310810782407</v>
      </c>
      <c r="H16" s="245">
        <v>161.34083233685226</v>
      </c>
      <c r="I16" s="245">
        <v>161.34083233685226</v>
      </c>
      <c r="J16" s="245">
        <v>119.41072419454822</v>
      </c>
    </row>
    <row r="17" spans="1:10" ht="25" x14ac:dyDescent="0.35">
      <c r="A17" s="227">
        <v>5</v>
      </c>
      <c r="B17" s="226" t="s">
        <v>439</v>
      </c>
      <c r="C17" s="246"/>
      <c r="D17" s="246"/>
      <c r="E17" s="246"/>
      <c r="F17" s="246"/>
      <c r="G17" s="245"/>
      <c r="H17" s="245"/>
      <c r="I17" s="245"/>
      <c r="J17" s="245"/>
    </row>
    <row r="18" spans="1:10" x14ac:dyDescent="0.35">
      <c r="A18" s="227">
        <v>6</v>
      </c>
      <c r="B18" s="230" t="s">
        <v>300</v>
      </c>
      <c r="C18" s="246"/>
      <c r="D18" s="246"/>
      <c r="E18" s="246"/>
      <c r="F18" s="246"/>
      <c r="G18" s="248">
        <f>G10+G16</f>
        <v>1946.5821859978241</v>
      </c>
      <c r="H18" s="248">
        <f>H10+H16</f>
        <v>939.61213137685218</v>
      </c>
      <c r="I18" s="248">
        <f>I10+I16</f>
        <v>939.61213137685218</v>
      </c>
      <c r="J18" s="248">
        <f>J10+J16</f>
        <v>361.98118789164414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ACC9-51F3-46B0-B17F-9EA25E0DFE7A}">
  <dimension ref="A2:D12"/>
  <sheetViews>
    <sheetView workbookViewId="0">
      <selection activeCell="F16" sqref="F16"/>
    </sheetView>
  </sheetViews>
  <sheetFormatPr defaultRowHeight="14.5" x14ac:dyDescent="0.35"/>
  <cols>
    <col min="1" max="1" width="5.26953125" customWidth="1"/>
    <col min="2" max="2" width="41.54296875" customWidth="1"/>
    <col min="3" max="3" width="14.7265625" customWidth="1"/>
    <col min="4" max="4" width="15" customWidth="1"/>
  </cols>
  <sheetData>
    <row r="2" spans="1:4" ht="18.5" x14ac:dyDescent="0.35">
      <c r="A2" s="253" t="s">
        <v>440</v>
      </c>
    </row>
    <row r="3" spans="1:4" x14ac:dyDescent="0.35">
      <c r="A3" s="249"/>
      <c r="C3" s="249"/>
      <c r="D3" s="249"/>
    </row>
    <row r="4" spans="1:4" ht="15.5" x14ac:dyDescent="0.35">
      <c r="A4" s="250"/>
      <c r="B4" s="254" t="s">
        <v>416</v>
      </c>
      <c r="C4" s="225" t="s">
        <v>226</v>
      </c>
      <c r="D4" s="225" t="s">
        <v>227</v>
      </c>
    </row>
    <row r="5" spans="1:4" x14ac:dyDescent="0.35">
      <c r="A5" s="251"/>
      <c r="B5" s="549"/>
      <c r="C5" s="551" t="s">
        <v>441</v>
      </c>
      <c r="D5" s="552" t="s">
        <v>290</v>
      </c>
    </row>
    <row r="6" spans="1:4" x14ac:dyDescent="0.35">
      <c r="A6" s="252"/>
      <c r="B6" s="550"/>
      <c r="C6" s="551"/>
      <c r="D6" s="552"/>
    </row>
    <row r="7" spans="1:4" ht="26" x14ac:dyDescent="0.35">
      <c r="A7" s="225">
        <v>1</v>
      </c>
      <c r="B7" s="256" t="s">
        <v>442</v>
      </c>
      <c r="C7" s="234"/>
      <c r="D7" s="234"/>
    </row>
    <row r="8" spans="1:4" ht="26" x14ac:dyDescent="0.35">
      <c r="A8" s="225">
        <v>2</v>
      </c>
      <c r="B8" s="256" t="s">
        <v>443</v>
      </c>
      <c r="C8" s="233"/>
      <c r="D8" s="234"/>
    </row>
    <row r="9" spans="1:4" ht="26" x14ac:dyDescent="0.35">
      <c r="A9" s="225">
        <v>3</v>
      </c>
      <c r="B9" s="256" t="s">
        <v>444</v>
      </c>
      <c r="C9" s="233"/>
      <c r="D9" s="234"/>
    </row>
    <row r="10" spans="1:4" x14ac:dyDescent="0.35">
      <c r="A10" s="225">
        <v>4</v>
      </c>
      <c r="B10" s="256" t="s">
        <v>445</v>
      </c>
      <c r="C10" s="241">
        <v>721.42182331000004</v>
      </c>
      <c r="D10" s="241">
        <v>121.8026766905122</v>
      </c>
    </row>
    <row r="11" spans="1:4" ht="26" x14ac:dyDescent="0.35">
      <c r="A11" s="227" t="s">
        <v>446</v>
      </c>
      <c r="B11" s="256" t="s">
        <v>447</v>
      </c>
      <c r="C11" s="234"/>
      <c r="D11" s="234"/>
    </row>
    <row r="12" spans="1:4" ht="49" customHeight="1" x14ac:dyDescent="0.35">
      <c r="A12" s="225">
        <v>5</v>
      </c>
      <c r="B12" s="257" t="s">
        <v>448</v>
      </c>
      <c r="C12" s="258">
        <v>721.42182331000004</v>
      </c>
      <c r="D12" s="258">
        <v>121.8026766905122</v>
      </c>
    </row>
  </sheetData>
  <mergeCells count="3">
    <mergeCell ref="B5:B6"/>
    <mergeCell ref="C5:C6"/>
    <mergeCell ref="D5:D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88258-71A0-4645-873E-7F90D885F2F2}">
  <dimension ref="A3:N19"/>
  <sheetViews>
    <sheetView workbookViewId="0">
      <selection activeCell="C23" sqref="C23"/>
    </sheetView>
  </sheetViews>
  <sheetFormatPr defaultColWidth="8.7265625" defaultRowHeight="14.5" x14ac:dyDescent="0.35"/>
  <cols>
    <col min="1" max="1" width="5.81640625" style="259" customWidth="1"/>
    <col min="2" max="2" width="54.453125" style="259" customWidth="1"/>
    <col min="3" max="13" width="5.453125" style="259" customWidth="1"/>
    <col min="14" max="14" width="13.26953125" style="259" customWidth="1"/>
    <col min="15" max="16384" width="8.7265625" style="259"/>
  </cols>
  <sheetData>
    <row r="3" spans="1:14" ht="18.5" x14ac:dyDescent="0.45">
      <c r="A3" s="281" t="s">
        <v>449</v>
      </c>
    </row>
    <row r="4" spans="1:14" ht="15.5" x14ac:dyDescent="0.35">
      <c r="A4" s="232" t="s">
        <v>416</v>
      </c>
    </row>
    <row r="5" spans="1:14" x14ac:dyDescent="0.35">
      <c r="A5" s="261"/>
    </row>
    <row r="6" spans="1:14" x14ac:dyDescent="0.35">
      <c r="A6" s="262"/>
      <c r="B6" s="553" t="s">
        <v>450</v>
      </c>
      <c r="C6" s="553" t="s">
        <v>410</v>
      </c>
      <c r="D6" s="553"/>
      <c r="E6" s="553"/>
      <c r="F6" s="553"/>
      <c r="G6" s="553"/>
      <c r="H6" s="553"/>
      <c r="I6" s="553"/>
      <c r="J6" s="553"/>
      <c r="K6" s="553"/>
      <c r="L6" s="553"/>
      <c r="M6" s="553"/>
      <c r="N6" s="264"/>
    </row>
    <row r="7" spans="1:14" x14ac:dyDescent="0.35">
      <c r="A7" s="265"/>
      <c r="B7" s="554"/>
      <c r="C7" s="263" t="s">
        <v>226</v>
      </c>
      <c r="D7" s="263" t="s">
        <v>227</v>
      </c>
      <c r="E7" s="263" t="s">
        <v>228</v>
      </c>
      <c r="F7" s="263" t="s">
        <v>275</v>
      </c>
      <c r="G7" s="263" t="s">
        <v>276</v>
      </c>
      <c r="H7" s="263" t="s">
        <v>277</v>
      </c>
      <c r="I7" s="263" t="s">
        <v>278</v>
      </c>
      <c r="J7" s="263" t="s">
        <v>279</v>
      </c>
      <c r="K7" s="263" t="s">
        <v>280</v>
      </c>
      <c r="L7" s="263" t="s">
        <v>281</v>
      </c>
      <c r="M7" s="263" t="s">
        <v>282</v>
      </c>
      <c r="N7" s="266" t="s">
        <v>283</v>
      </c>
    </row>
    <row r="8" spans="1:14" ht="43.5" x14ac:dyDescent="0.35">
      <c r="A8" s="267"/>
      <c r="B8" s="554"/>
      <c r="C8" s="268">
        <v>0</v>
      </c>
      <c r="D8" s="268">
        <v>0.02</v>
      </c>
      <c r="E8" s="268">
        <v>0.04</v>
      </c>
      <c r="F8" s="268">
        <v>0.1</v>
      </c>
      <c r="G8" s="268">
        <v>0.2</v>
      </c>
      <c r="H8" s="268">
        <v>0.5</v>
      </c>
      <c r="I8" s="268">
        <v>0.7</v>
      </c>
      <c r="J8" s="268">
        <v>0.75</v>
      </c>
      <c r="K8" s="268">
        <v>1</v>
      </c>
      <c r="L8" s="268">
        <v>1.5</v>
      </c>
      <c r="M8" s="263" t="s">
        <v>412</v>
      </c>
      <c r="N8" s="269" t="s">
        <v>451</v>
      </c>
    </row>
    <row r="9" spans="1:14" x14ac:dyDescent="0.35">
      <c r="A9" s="255">
        <v>1</v>
      </c>
      <c r="B9" s="270" t="s">
        <v>393</v>
      </c>
      <c r="C9" s="271">
        <v>0</v>
      </c>
      <c r="D9" s="272">
        <v>0</v>
      </c>
      <c r="E9" s="272">
        <v>0</v>
      </c>
      <c r="F9" s="272">
        <v>0</v>
      </c>
      <c r="G9" s="272">
        <v>0</v>
      </c>
      <c r="H9" s="272">
        <v>0</v>
      </c>
      <c r="I9" s="272">
        <v>0</v>
      </c>
      <c r="J9" s="272">
        <v>0</v>
      </c>
      <c r="K9" s="272">
        <v>0</v>
      </c>
      <c r="L9" s="272">
        <v>0</v>
      </c>
      <c r="M9" s="272">
        <v>0</v>
      </c>
      <c r="N9" s="273">
        <f t="shared" ref="N9:N18" si="0">SUM(C9:M9)</f>
        <v>0</v>
      </c>
    </row>
    <row r="10" spans="1:14" x14ac:dyDescent="0.35">
      <c r="A10" s="255">
        <v>2</v>
      </c>
      <c r="B10" s="274" t="s">
        <v>394</v>
      </c>
      <c r="C10" s="275">
        <v>0</v>
      </c>
      <c r="D10" s="276">
        <v>0</v>
      </c>
      <c r="E10" s="276">
        <v>0</v>
      </c>
      <c r="F10" s="276">
        <v>0</v>
      </c>
      <c r="G10" s="276">
        <v>0</v>
      </c>
      <c r="H10" s="276">
        <v>0</v>
      </c>
      <c r="I10" s="276">
        <v>0</v>
      </c>
      <c r="J10" s="276">
        <v>0</v>
      </c>
      <c r="K10" s="276">
        <v>0</v>
      </c>
      <c r="L10" s="276">
        <v>0</v>
      </c>
      <c r="M10" s="276">
        <v>0</v>
      </c>
      <c r="N10" s="273">
        <f t="shared" si="0"/>
        <v>0</v>
      </c>
    </row>
    <row r="11" spans="1:14" x14ac:dyDescent="0.35">
      <c r="A11" s="255">
        <v>3</v>
      </c>
      <c r="B11" s="274" t="s">
        <v>395</v>
      </c>
      <c r="C11" s="275">
        <v>0</v>
      </c>
      <c r="D11" s="276">
        <v>0</v>
      </c>
      <c r="E11" s="276">
        <v>0</v>
      </c>
      <c r="F11" s="276">
        <v>0</v>
      </c>
      <c r="G11" s="276">
        <v>0</v>
      </c>
      <c r="H11" s="276">
        <v>0</v>
      </c>
      <c r="I11" s="276">
        <v>0</v>
      </c>
      <c r="J11" s="276">
        <v>0</v>
      </c>
      <c r="K11" s="276">
        <v>0</v>
      </c>
      <c r="L11" s="276">
        <v>0</v>
      </c>
      <c r="M11" s="276">
        <v>0</v>
      </c>
      <c r="N11" s="273">
        <f t="shared" si="0"/>
        <v>0</v>
      </c>
    </row>
    <row r="12" spans="1:14" x14ac:dyDescent="0.35">
      <c r="A12" s="255">
        <v>4</v>
      </c>
      <c r="B12" s="274" t="s">
        <v>396</v>
      </c>
      <c r="C12" s="275">
        <v>0</v>
      </c>
      <c r="D12" s="276">
        <v>0</v>
      </c>
      <c r="E12" s="276">
        <v>0</v>
      </c>
      <c r="F12" s="276">
        <v>0</v>
      </c>
      <c r="G12" s="276">
        <v>0</v>
      </c>
      <c r="H12" s="276">
        <v>0</v>
      </c>
      <c r="I12" s="276">
        <v>0</v>
      </c>
      <c r="J12" s="276">
        <v>0</v>
      </c>
      <c r="K12" s="276">
        <v>0</v>
      </c>
      <c r="L12" s="276">
        <v>0</v>
      </c>
      <c r="M12" s="276">
        <v>0</v>
      </c>
      <c r="N12" s="273">
        <f t="shared" si="0"/>
        <v>0</v>
      </c>
    </row>
    <row r="13" spans="1:14" x14ac:dyDescent="0.35">
      <c r="A13" s="255">
        <v>5</v>
      </c>
      <c r="B13" s="274" t="s">
        <v>397</v>
      </c>
      <c r="C13" s="275">
        <v>0</v>
      </c>
      <c r="D13" s="276">
        <v>0</v>
      </c>
      <c r="E13" s="276">
        <v>0</v>
      </c>
      <c r="F13" s="276">
        <v>0</v>
      </c>
      <c r="G13" s="276">
        <v>0</v>
      </c>
      <c r="H13" s="276">
        <v>0</v>
      </c>
      <c r="I13" s="276">
        <v>0</v>
      </c>
      <c r="J13" s="276">
        <v>0</v>
      </c>
      <c r="K13" s="276">
        <v>0</v>
      </c>
      <c r="L13" s="276">
        <v>0</v>
      </c>
      <c r="M13" s="276">
        <v>0</v>
      </c>
      <c r="N13" s="273">
        <f t="shared" si="0"/>
        <v>0</v>
      </c>
    </row>
    <row r="14" spans="1:14" x14ac:dyDescent="0.35">
      <c r="A14" s="255">
        <v>6</v>
      </c>
      <c r="B14" s="274" t="s">
        <v>398</v>
      </c>
      <c r="C14" s="275">
        <v>0</v>
      </c>
      <c r="D14" s="276">
        <v>0</v>
      </c>
      <c r="E14" s="276">
        <v>0</v>
      </c>
      <c r="F14" s="276">
        <v>0</v>
      </c>
      <c r="G14" s="276">
        <f>551398396/1000000</f>
        <v>551.39839600000005</v>
      </c>
      <c r="H14" s="276">
        <f>166659228/1000000</f>
        <v>166.65922800000001</v>
      </c>
      <c r="I14" s="276">
        <v>0</v>
      </c>
      <c r="J14" s="276">
        <v>0</v>
      </c>
      <c r="K14" s="276">
        <v>0</v>
      </c>
      <c r="L14" s="276">
        <v>0</v>
      </c>
      <c r="M14" s="276">
        <v>0</v>
      </c>
      <c r="N14" s="273">
        <f t="shared" si="0"/>
        <v>718.05762400000003</v>
      </c>
    </row>
    <row r="15" spans="1:14" x14ac:dyDescent="0.35">
      <c r="A15" s="255">
        <v>7</v>
      </c>
      <c r="B15" s="277" t="s">
        <v>399</v>
      </c>
      <c r="C15" s="275">
        <v>0</v>
      </c>
      <c r="D15" s="276">
        <v>0</v>
      </c>
      <c r="E15" s="276">
        <v>0</v>
      </c>
      <c r="F15" s="276">
        <v>0</v>
      </c>
      <c r="G15" s="276">
        <v>0</v>
      </c>
      <c r="H15" s="276">
        <v>0</v>
      </c>
      <c r="I15" s="276">
        <v>0</v>
      </c>
      <c r="J15" s="276">
        <v>0</v>
      </c>
      <c r="K15" s="276">
        <f>47647173/1000000</f>
        <v>47.647173000000002</v>
      </c>
      <c r="L15" s="276">
        <v>0</v>
      </c>
      <c r="M15" s="276">
        <v>0</v>
      </c>
      <c r="N15" s="273">
        <f t="shared" si="0"/>
        <v>47.647173000000002</v>
      </c>
    </row>
    <row r="16" spans="1:14" x14ac:dyDescent="0.35">
      <c r="A16" s="255">
        <v>8</v>
      </c>
      <c r="B16" s="277" t="s">
        <v>400</v>
      </c>
      <c r="C16" s="275">
        <v>0</v>
      </c>
      <c r="D16" s="276">
        <v>0</v>
      </c>
      <c r="E16" s="276">
        <v>0</v>
      </c>
      <c r="F16" s="276">
        <v>0</v>
      </c>
      <c r="G16" s="276">
        <v>0</v>
      </c>
      <c r="H16" s="276">
        <v>0</v>
      </c>
      <c r="I16" s="276">
        <v>0</v>
      </c>
      <c r="J16" s="276">
        <f>171550257/1000000</f>
        <v>171.55025699999999</v>
      </c>
      <c r="K16" s="276">
        <v>0</v>
      </c>
      <c r="L16" s="276">
        <v>0</v>
      </c>
      <c r="M16" s="276">
        <v>0</v>
      </c>
      <c r="N16" s="273">
        <f t="shared" si="0"/>
        <v>171.55025699999999</v>
      </c>
    </row>
    <row r="17" spans="1:14" x14ac:dyDescent="0.35">
      <c r="A17" s="255">
        <v>9</v>
      </c>
      <c r="B17" s="278" t="s">
        <v>404</v>
      </c>
      <c r="C17" s="275">
        <v>0</v>
      </c>
      <c r="D17" s="276">
        <v>0</v>
      </c>
      <c r="E17" s="276">
        <v>0</v>
      </c>
      <c r="F17" s="276">
        <v>0</v>
      </c>
      <c r="G17" s="276">
        <v>0</v>
      </c>
      <c r="H17" s="276">
        <v>0</v>
      </c>
      <c r="I17" s="276">
        <v>0</v>
      </c>
      <c r="J17" s="276">
        <v>0</v>
      </c>
      <c r="K17" s="276">
        <v>0</v>
      </c>
      <c r="L17" s="276">
        <v>0</v>
      </c>
      <c r="M17" s="276">
        <v>0</v>
      </c>
      <c r="N17" s="273">
        <f t="shared" si="0"/>
        <v>0</v>
      </c>
    </row>
    <row r="18" spans="1:14" x14ac:dyDescent="0.35">
      <c r="A18" s="255">
        <v>10</v>
      </c>
      <c r="B18" s="278" t="s">
        <v>406</v>
      </c>
      <c r="C18" s="275">
        <v>0</v>
      </c>
      <c r="D18" s="276">
        <v>0</v>
      </c>
      <c r="E18" s="276">
        <v>0</v>
      </c>
      <c r="F18" s="276">
        <v>0</v>
      </c>
      <c r="G18" s="276">
        <v>0</v>
      </c>
      <c r="H18" s="276">
        <v>0</v>
      </c>
      <c r="I18" s="276">
        <v>0</v>
      </c>
      <c r="J18" s="276">
        <v>0</v>
      </c>
      <c r="K18" s="276">
        <v>0</v>
      </c>
      <c r="L18" s="276">
        <f>2357078/1000000</f>
        <v>2.357078</v>
      </c>
      <c r="M18" s="276">
        <v>0</v>
      </c>
      <c r="N18" s="273">
        <f t="shared" si="0"/>
        <v>2.357078</v>
      </c>
    </row>
    <row r="19" spans="1:14" x14ac:dyDescent="0.35">
      <c r="A19" s="255">
        <v>11</v>
      </c>
      <c r="B19" s="257" t="s">
        <v>452</v>
      </c>
      <c r="C19" s="279">
        <f t="shared" ref="C19:N19" si="1">SUM(C9:C18)</f>
        <v>0</v>
      </c>
      <c r="D19" s="279">
        <f t="shared" si="1"/>
        <v>0</v>
      </c>
      <c r="E19" s="279">
        <f t="shared" si="1"/>
        <v>0</v>
      </c>
      <c r="F19" s="279">
        <f t="shared" si="1"/>
        <v>0</v>
      </c>
      <c r="G19" s="279">
        <f t="shared" si="1"/>
        <v>551.39839600000005</v>
      </c>
      <c r="H19" s="279">
        <f t="shared" si="1"/>
        <v>166.65922800000001</v>
      </c>
      <c r="I19" s="279">
        <f t="shared" si="1"/>
        <v>0</v>
      </c>
      <c r="J19" s="279">
        <f t="shared" si="1"/>
        <v>171.55025699999999</v>
      </c>
      <c r="K19" s="279">
        <f t="shared" si="1"/>
        <v>47.647173000000002</v>
      </c>
      <c r="L19" s="279">
        <f t="shared" si="1"/>
        <v>2.357078</v>
      </c>
      <c r="M19" s="279">
        <f t="shared" si="1"/>
        <v>0</v>
      </c>
      <c r="N19" s="273">
        <f t="shared" si="1"/>
        <v>939.61213199999997</v>
      </c>
    </row>
  </sheetData>
  <mergeCells count="2">
    <mergeCell ref="B6:B8"/>
    <mergeCell ref="C6:M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EBC07-4B1B-48F4-87F1-C9054E1ADCEF}">
  <dimension ref="A2:J17"/>
  <sheetViews>
    <sheetView workbookViewId="0">
      <selection activeCell="F22" sqref="F22"/>
    </sheetView>
  </sheetViews>
  <sheetFormatPr defaultRowHeight="14.5" x14ac:dyDescent="0.35"/>
  <cols>
    <col min="2" max="2" width="32.81640625" customWidth="1"/>
    <col min="3" max="3" width="10.453125" customWidth="1"/>
    <col min="4" max="4" width="12.1796875" customWidth="1"/>
    <col min="5" max="5" width="10.1796875" customWidth="1"/>
    <col min="6" max="6" width="11.81640625" customWidth="1"/>
    <col min="7" max="7" width="11.26953125" customWidth="1"/>
    <col min="8" max="8" width="11.453125" customWidth="1"/>
    <col min="9" max="9" width="11" customWidth="1"/>
    <col min="10" max="10" width="12.7265625" customWidth="1"/>
  </cols>
  <sheetData>
    <row r="2" spans="1:10" s="282" customFormat="1" ht="18.5" x14ac:dyDescent="0.45">
      <c r="A2" s="281" t="s">
        <v>453</v>
      </c>
    </row>
    <row r="3" spans="1:10" ht="21" x14ac:dyDescent="0.5">
      <c r="A3" s="260" t="s">
        <v>454</v>
      </c>
      <c r="B3" s="283"/>
      <c r="C3" s="259"/>
      <c r="D3" s="259"/>
      <c r="E3" s="259"/>
      <c r="F3" s="259"/>
      <c r="G3" s="259"/>
      <c r="H3" s="259"/>
      <c r="I3" s="259"/>
      <c r="J3" s="259"/>
    </row>
    <row r="4" spans="1:10" x14ac:dyDescent="0.35">
      <c r="A4" s="259"/>
      <c r="B4" s="259"/>
      <c r="C4" s="259"/>
      <c r="D4" s="259"/>
      <c r="E4" s="259"/>
      <c r="F4" s="259"/>
      <c r="G4" s="259"/>
      <c r="H4" s="259"/>
      <c r="I4" s="259"/>
      <c r="J4" s="259"/>
    </row>
    <row r="5" spans="1:10" x14ac:dyDescent="0.35">
      <c r="A5" s="284"/>
      <c r="B5" s="285" t="s">
        <v>62</v>
      </c>
      <c r="C5" s="286" t="s">
        <v>226</v>
      </c>
      <c r="D5" s="255" t="s">
        <v>227</v>
      </c>
      <c r="E5" s="255" t="s">
        <v>228</v>
      </c>
      <c r="F5" s="255" t="s">
        <v>275</v>
      </c>
      <c r="G5" s="255" t="s">
        <v>276</v>
      </c>
      <c r="H5" s="255" t="s">
        <v>277</v>
      </c>
      <c r="I5" s="255" t="s">
        <v>278</v>
      </c>
      <c r="J5" s="255" t="s">
        <v>279</v>
      </c>
    </row>
    <row r="6" spans="1:10" ht="40.5" customHeight="1" x14ac:dyDescent="0.35">
      <c r="A6" s="287"/>
      <c r="B6" s="288"/>
      <c r="C6" s="555" t="s">
        <v>455</v>
      </c>
      <c r="D6" s="552"/>
      <c r="E6" s="552"/>
      <c r="F6" s="552"/>
      <c r="G6" s="556" t="s">
        <v>456</v>
      </c>
      <c r="H6" s="557"/>
      <c r="I6" s="557"/>
      <c r="J6" s="555"/>
    </row>
    <row r="7" spans="1:10" ht="32.25" customHeight="1" x14ac:dyDescent="0.35">
      <c r="A7" s="289"/>
      <c r="B7" s="558" t="s">
        <v>457</v>
      </c>
      <c r="C7" s="552" t="s">
        <v>458</v>
      </c>
      <c r="D7" s="552"/>
      <c r="E7" s="552" t="s">
        <v>459</v>
      </c>
      <c r="F7" s="552"/>
      <c r="G7" s="552" t="s">
        <v>458</v>
      </c>
      <c r="H7" s="552"/>
      <c r="I7" s="552" t="s">
        <v>459</v>
      </c>
      <c r="J7" s="552"/>
    </row>
    <row r="8" spans="1:10" x14ac:dyDescent="0.35">
      <c r="A8" s="289"/>
      <c r="B8" s="559"/>
      <c r="C8" s="255" t="s">
        <v>460</v>
      </c>
      <c r="D8" s="255" t="s">
        <v>461</v>
      </c>
      <c r="E8" s="255" t="s">
        <v>460</v>
      </c>
      <c r="F8" s="255" t="s">
        <v>461</v>
      </c>
      <c r="G8" s="255" t="s">
        <v>460</v>
      </c>
      <c r="H8" s="255" t="s">
        <v>461</v>
      </c>
      <c r="I8" s="255" t="s">
        <v>460</v>
      </c>
      <c r="J8" s="255" t="s">
        <v>461</v>
      </c>
    </row>
    <row r="9" spans="1:10" x14ac:dyDescent="0.35">
      <c r="A9" s="290">
        <v>1</v>
      </c>
      <c r="B9" s="256" t="s">
        <v>462</v>
      </c>
      <c r="C9" s="255"/>
      <c r="D9" s="236">
        <v>68.482900000000001</v>
      </c>
      <c r="E9" s="236"/>
      <c r="F9" s="236">
        <v>2.2999999999999998</v>
      </c>
      <c r="G9" s="255"/>
      <c r="H9" s="255"/>
      <c r="I9" s="255"/>
      <c r="J9" s="291">
        <v>0</v>
      </c>
    </row>
    <row r="10" spans="1:10" x14ac:dyDescent="0.35">
      <c r="A10" s="290">
        <v>2</v>
      </c>
      <c r="B10" s="256" t="s">
        <v>463</v>
      </c>
      <c r="C10" s="255"/>
      <c r="D10" s="236">
        <v>170.80777633000002</v>
      </c>
      <c r="E10" s="236"/>
      <c r="F10" s="236">
        <v>4.5544365599999992</v>
      </c>
      <c r="G10" s="255"/>
      <c r="H10" s="255"/>
      <c r="I10" s="255"/>
      <c r="J10" s="291">
        <v>0</v>
      </c>
    </row>
    <row r="11" spans="1:10" x14ac:dyDescent="0.35">
      <c r="A11" s="290">
        <v>3</v>
      </c>
      <c r="B11" s="256" t="s">
        <v>464</v>
      </c>
      <c r="C11" s="255"/>
      <c r="D11" s="236" t="s">
        <v>465</v>
      </c>
      <c r="E11" s="236"/>
      <c r="F11" s="236"/>
      <c r="G11" s="255"/>
      <c r="H11" s="255"/>
      <c r="I11" s="255"/>
      <c r="J11" s="255"/>
    </row>
    <row r="12" spans="1:10" x14ac:dyDescent="0.35">
      <c r="A12" s="290">
        <v>4</v>
      </c>
      <c r="B12" s="256" t="s">
        <v>466</v>
      </c>
      <c r="C12" s="255"/>
      <c r="D12" s="236" t="s">
        <v>465</v>
      </c>
      <c r="E12" s="236"/>
      <c r="F12" s="236"/>
      <c r="G12" s="255"/>
      <c r="H12" s="255"/>
      <c r="I12" s="255"/>
      <c r="J12" s="255"/>
    </row>
    <row r="13" spans="1:10" x14ac:dyDescent="0.35">
      <c r="A13" s="290">
        <v>5</v>
      </c>
      <c r="B13" s="256" t="s">
        <v>467</v>
      </c>
      <c r="C13" s="255"/>
      <c r="D13" s="236" t="s">
        <v>468</v>
      </c>
      <c r="E13" s="236"/>
      <c r="F13" s="236"/>
      <c r="G13" s="255"/>
      <c r="H13" s="255"/>
      <c r="I13" s="255"/>
      <c r="J13" s="255"/>
    </row>
    <row r="14" spans="1:10" x14ac:dyDescent="0.35">
      <c r="A14" s="290">
        <v>6</v>
      </c>
      <c r="B14" s="256" t="s">
        <v>469</v>
      </c>
      <c r="C14" s="255"/>
      <c r="D14" s="236" t="s">
        <v>465</v>
      </c>
      <c r="E14" s="236"/>
      <c r="F14" s="236"/>
      <c r="G14" s="255"/>
      <c r="H14" s="255"/>
      <c r="I14" s="255"/>
      <c r="J14" s="255"/>
    </row>
    <row r="15" spans="1:10" x14ac:dyDescent="0.35">
      <c r="A15" s="290">
        <v>7</v>
      </c>
      <c r="B15" s="256" t="s">
        <v>470</v>
      </c>
      <c r="C15" s="255"/>
      <c r="D15" s="236" t="s">
        <v>465</v>
      </c>
      <c r="E15" s="236"/>
      <c r="F15" s="236"/>
      <c r="G15" s="255"/>
      <c r="H15" s="255"/>
      <c r="I15" s="255"/>
      <c r="J15" s="255"/>
    </row>
    <row r="16" spans="1:10" x14ac:dyDescent="0.35">
      <c r="A16" s="290">
        <v>8</v>
      </c>
      <c r="B16" s="256" t="s">
        <v>471</v>
      </c>
      <c r="C16" s="255"/>
      <c r="D16" s="236" t="s">
        <v>465</v>
      </c>
      <c r="E16" s="236"/>
      <c r="F16" s="236"/>
      <c r="G16" s="255"/>
      <c r="H16" s="255"/>
      <c r="I16" s="255"/>
      <c r="J16" s="255"/>
    </row>
    <row r="17" spans="1:10" x14ac:dyDescent="0.35">
      <c r="A17" s="292">
        <v>9</v>
      </c>
      <c r="B17" s="293" t="s">
        <v>300</v>
      </c>
      <c r="C17" s="293"/>
      <c r="D17" s="237">
        <v>239.29067633000003</v>
      </c>
      <c r="E17" s="237"/>
      <c r="F17" s="237">
        <v>6.8544365599999999</v>
      </c>
      <c r="G17" s="293"/>
      <c r="H17" s="293"/>
      <c r="I17" s="293"/>
      <c r="J17" s="293">
        <v>0</v>
      </c>
    </row>
  </sheetData>
  <mergeCells count="7">
    <mergeCell ref="C6:F6"/>
    <mergeCell ref="G6:J6"/>
    <mergeCell ref="B7:B8"/>
    <mergeCell ref="C7:D7"/>
    <mergeCell ref="E7:F7"/>
    <mergeCell ref="G7:H7"/>
    <mergeCell ref="I7:J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4E5F4-866A-412C-8DF1-42707C27195C}">
  <dimension ref="A2:I44"/>
  <sheetViews>
    <sheetView workbookViewId="0">
      <selection activeCell="C21" sqref="C21"/>
    </sheetView>
  </sheetViews>
  <sheetFormatPr defaultRowHeight="14.5" x14ac:dyDescent="0.35"/>
  <cols>
    <col min="2" max="2" width="65.26953125" customWidth="1"/>
    <col min="3" max="4" width="20.1796875" customWidth="1"/>
  </cols>
  <sheetData>
    <row r="2" spans="1:9" s="160" customFormat="1" ht="21" x14ac:dyDescent="0.5">
      <c r="A2" s="280" t="s">
        <v>472</v>
      </c>
    </row>
    <row r="3" spans="1:9" s="160" customFormat="1" ht="15.5" x14ac:dyDescent="0.35">
      <c r="A3" s="308" t="s">
        <v>416</v>
      </c>
    </row>
    <row r="4" spans="1:9" x14ac:dyDescent="0.35">
      <c r="A4" s="294"/>
      <c r="B4" s="295"/>
      <c r="C4" s="294"/>
      <c r="D4" s="294"/>
    </row>
    <row r="5" spans="1:9" x14ac:dyDescent="0.35">
      <c r="A5" s="297"/>
      <c r="B5" s="298" t="s">
        <v>62</v>
      </c>
      <c r="C5" s="235" t="s">
        <v>226</v>
      </c>
      <c r="D5" s="235" t="s">
        <v>227</v>
      </c>
    </row>
    <row r="6" spans="1:9" ht="26" x14ac:dyDescent="0.35">
      <c r="A6" s="299"/>
      <c r="B6" s="300"/>
      <c r="C6" s="235" t="s">
        <v>441</v>
      </c>
      <c r="D6" s="235" t="s">
        <v>290</v>
      </c>
    </row>
    <row r="7" spans="1:9" x14ac:dyDescent="0.35">
      <c r="A7" s="301">
        <v>1</v>
      </c>
      <c r="B7" s="257" t="s">
        <v>473</v>
      </c>
      <c r="C7" s="302"/>
      <c r="D7" s="303">
        <v>14.326933859999999</v>
      </c>
      <c r="E7" s="296"/>
      <c r="F7" s="296"/>
      <c r="H7" s="296"/>
      <c r="I7" s="296"/>
    </row>
    <row r="8" spans="1:9" ht="26" x14ac:dyDescent="0.35">
      <c r="A8" s="235">
        <v>2</v>
      </c>
      <c r="B8" s="256" t="s">
        <v>474</v>
      </c>
      <c r="C8" s="303">
        <v>1.0555587200000001</v>
      </c>
      <c r="D8" s="303">
        <v>0.52777936000000003</v>
      </c>
      <c r="E8" s="296"/>
      <c r="F8" s="296"/>
      <c r="H8" s="296"/>
      <c r="I8" s="296"/>
    </row>
    <row r="9" spans="1:9" x14ac:dyDescent="0.35">
      <c r="A9" s="235">
        <v>3</v>
      </c>
      <c r="B9" s="256" t="s">
        <v>475</v>
      </c>
      <c r="C9" s="303"/>
      <c r="D9" s="303"/>
      <c r="E9" s="296"/>
      <c r="F9" s="296"/>
      <c r="H9" s="296"/>
      <c r="I9" s="296"/>
    </row>
    <row r="10" spans="1:9" x14ac:dyDescent="0.35">
      <c r="A10" s="235">
        <v>4</v>
      </c>
      <c r="B10" s="256" t="s">
        <v>476</v>
      </c>
      <c r="C10" s="303">
        <v>1.0555587200000001</v>
      </c>
      <c r="D10" s="303">
        <v>0.52777936000000003</v>
      </c>
      <c r="E10" s="296"/>
      <c r="F10" s="296"/>
      <c r="H10" s="296"/>
      <c r="I10" s="296"/>
    </row>
    <row r="11" spans="1:9" x14ac:dyDescent="0.35">
      <c r="A11" s="235">
        <v>5</v>
      </c>
      <c r="B11" s="256" t="s">
        <v>477</v>
      </c>
      <c r="C11" s="303"/>
      <c r="D11" s="303"/>
      <c r="E11" s="296"/>
      <c r="F11" s="296"/>
      <c r="H11" s="296"/>
      <c r="I11" s="296"/>
    </row>
    <row r="12" spans="1:9" x14ac:dyDescent="0.35">
      <c r="A12" s="235">
        <v>6</v>
      </c>
      <c r="B12" s="256" t="s">
        <v>478</v>
      </c>
      <c r="C12" s="303"/>
      <c r="D12" s="303"/>
      <c r="E12" s="296"/>
      <c r="F12" s="296"/>
      <c r="H12" s="296"/>
      <c r="I12" s="296"/>
    </row>
    <row r="13" spans="1:9" x14ac:dyDescent="0.35">
      <c r="A13" s="235">
        <v>7</v>
      </c>
      <c r="B13" s="256" t="s">
        <v>479</v>
      </c>
      <c r="C13" s="303"/>
      <c r="D13" s="302"/>
      <c r="E13" s="296"/>
      <c r="F13" s="296"/>
      <c r="H13" s="296"/>
      <c r="I13" s="296"/>
    </row>
    <row r="14" spans="1:9" x14ac:dyDescent="0.35">
      <c r="A14" s="235">
        <v>8</v>
      </c>
      <c r="B14" s="256" t="s">
        <v>480</v>
      </c>
      <c r="C14" s="303">
        <v>27.598309</v>
      </c>
      <c r="D14" s="303">
        <v>13.7991545</v>
      </c>
      <c r="E14" s="296"/>
      <c r="F14" s="296"/>
      <c r="H14" s="296"/>
      <c r="I14" s="296"/>
    </row>
    <row r="15" spans="1:9" x14ac:dyDescent="0.35">
      <c r="A15" s="235">
        <v>9</v>
      </c>
      <c r="B15" s="256" t="s">
        <v>481</v>
      </c>
      <c r="C15" s="304"/>
      <c r="D15" s="304"/>
    </row>
    <row r="16" spans="1:9" x14ac:dyDescent="0.35">
      <c r="A16" s="235">
        <v>10</v>
      </c>
      <c r="B16" s="256" t="s">
        <v>482</v>
      </c>
      <c r="C16" s="304"/>
      <c r="D16" s="304"/>
    </row>
    <row r="17" spans="1:4" x14ac:dyDescent="0.35">
      <c r="A17" s="305">
        <v>11</v>
      </c>
      <c r="B17" s="306" t="s">
        <v>483</v>
      </c>
      <c r="C17" s="307"/>
      <c r="D17" s="304"/>
    </row>
    <row r="18" spans="1:4" ht="26" x14ac:dyDescent="0.35">
      <c r="A18" s="235">
        <v>12</v>
      </c>
      <c r="B18" s="256" t="s">
        <v>484</v>
      </c>
      <c r="C18" s="304"/>
      <c r="D18" s="304"/>
    </row>
    <row r="19" spans="1:4" x14ac:dyDescent="0.35">
      <c r="A19" s="235">
        <v>13</v>
      </c>
      <c r="B19" s="256" t="s">
        <v>475</v>
      </c>
      <c r="C19" s="304"/>
      <c r="D19" s="304"/>
    </row>
    <row r="20" spans="1:4" x14ac:dyDescent="0.35">
      <c r="A20" s="235">
        <v>14</v>
      </c>
      <c r="B20" s="256" t="s">
        <v>476</v>
      </c>
      <c r="C20" s="304"/>
      <c r="D20" s="304"/>
    </row>
    <row r="21" spans="1:4" x14ac:dyDescent="0.35">
      <c r="A21" s="235">
        <v>15</v>
      </c>
      <c r="B21" s="256" t="s">
        <v>477</v>
      </c>
      <c r="C21" s="304"/>
      <c r="D21" s="304"/>
    </row>
    <row r="22" spans="1:4" x14ac:dyDescent="0.35">
      <c r="A22" s="235">
        <v>16</v>
      </c>
      <c r="B22" s="256" t="s">
        <v>478</v>
      </c>
      <c r="C22" s="304"/>
      <c r="D22" s="304"/>
    </row>
    <row r="23" spans="1:4" x14ac:dyDescent="0.35">
      <c r="A23" s="235">
        <v>17</v>
      </c>
      <c r="B23" s="256" t="s">
        <v>479</v>
      </c>
      <c r="C23" s="304"/>
      <c r="D23" s="307"/>
    </row>
    <row r="24" spans="1:4" x14ac:dyDescent="0.35">
      <c r="A24" s="235">
        <v>18</v>
      </c>
      <c r="B24" s="256" t="s">
        <v>480</v>
      </c>
      <c r="C24" s="304"/>
      <c r="D24" s="304"/>
    </row>
    <row r="25" spans="1:4" x14ac:dyDescent="0.35">
      <c r="A25" s="235">
        <v>19</v>
      </c>
      <c r="B25" s="256" t="s">
        <v>481</v>
      </c>
      <c r="C25" s="304"/>
      <c r="D25" s="304"/>
    </row>
    <row r="26" spans="1:4" x14ac:dyDescent="0.35">
      <c r="A26" s="235">
        <v>20</v>
      </c>
      <c r="B26" s="256" t="s">
        <v>482</v>
      </c>
      <c r="C26" s="304"/>
      <c r="D26" s="304"/>
    </row>
    <row r="27" spans="1:4" x14ac:dyDescent="0.35">
      <c r="A27" s="259"/>
      <c r="B27" s="259"/>
      <c r="C27" s="259"/>
      <c r="D27" s="259"/>
    </row>
    <row r="28" spans="1:4" x14ac:dyDescent="0.35">
      <c r="A28" s="259"/>
      <c r="B28" s="259"/>
      <c r="C28" s="259"/>
      <c r="D28" s="259"/>
    </row>
    <row r="29" spans="1:4" x14ac:dyDescent="0.35">
      <c r="A29" s="259"/>
      <c r="B29" s="259"/>
      <c r="C29" s="259"/>
      <c r="D29" s="259"/>
    </row>
    <row r="30" spans="1:4" x14ac:dyDescent="0.35">
      <c r="A30" s="259"/>
      <c r="B30" s="259"/>
      <c r="C30" s="259"/>
      <c r="D30" s="259"/>
    </row>
    <row r="31" spans="1:4" x14ac:dyDescent="0.35">
      <c r="A31" s="259"/>
      <c r="B31" s="259"/>
      <c r="C31" s="259"/>
      <c r="D31" s="259"/>
    </row>
    <row r="32" spans="1:4" x14ac:dyDescent="0.35">
      <c r="A32" s="259"/>
      <c r="B32" s="259"/>
      <c r="C32" s="259"/>
      <c r="D32" s="259"/>
    </row>
    <row r="33" spans="1:4" x14ac:dyDescent="0.35">
      <c r="A33" s="259"/>
      <c r="B33" s="259"/>
      <c r="C33" s="259"/>
      <c r="D33" s="259"/>
    </row>
    <row r="34" spans="1:4" x14ac:dyDescent="0.35">
      <c r="A34" s="259"/>
      <c r="B34" s="259"/>
      <c r="C34" s="259"/>
      <c r="D34" s="259"/>
    </row>
    <row r="35" spans="1:4" x14ac:dyDescent="0.35">
      <c r="A35" s="259"/>
      <c r="B35" s="259"/>
      <c r="C35" s="259"/>
      <c r="D35" s="259"/>
    </row>
    <row r="36" spans="1:4" x14ac:dyDescent="0.35">
      <c r="A36" s="259"/>
      <c r="B36" s="259"/>
      <c r="C36" s="259"/>
      <c r="D36" s="259"/>
    </row>
    <row r="37" spans="1:4" x14ac:dyDescent="0.35">
      <c r="A37" s="259"/>
      <c r="B37" s="259"/>
      <c r="C37" s="259"/>
      <c r="D37" s="259"/>
    </row>
    <row r="38" spans="1:4" x14ac:dyDescent="0.35">
      <c r="A38" s="259"/>
      <c r="B38" s="259"/>
      <c r="C38" s="259"/>
      <c r="D38" s="259"/>
    </row>
    <row r="39" spans="1:4" x14ac:dyDescent="0.35">
      <c r="A39" s="259"/>
      <c r="B39" s="259"/>
      <c r="C39" s="259"/>
      <c r="D39" s="259"/>
    </row>
    <row r="40" spans="1:4" x14ac:dyDescent="0.35">
      <c r="A40" s="259"/>
      <c r="B40" s="259"/>
      <c r="C40" s="259"/>
      <c r="D40" s="259"/>
    </row>
    <row r="41" spans="1:4" x14ac:dyDescent="0.35">
      <c r="A41" s="259"/>
      <c r="B41" s="259"/>
      <c r="C41" s="259"/>
      <c r="D41" s="259"/>
    </row>
    <row r="42" spans="1:4" x14ac:dyDescent="0.35">
      <c r="A42" s="259"/>
      <c r="B42" s="259"/>
      <c r="C42" s="259"/>
      <c r="D42" s="259"/>
    </row>
    <row r="43" spans="1:4" x14ac:dyDescent="0.35">
      <c r="A43" s="259"/>
      <c r="B43" s="259"/>
      <c r="C43" s="259"/>
      <c r="D43" s="259"/>
    </row>
    <row r="44" spans="1:4" x14ac:dyDescent="0.35">
      <c r="A44" s="259"/>
      <c r="B44" s="259"/>
      <c r="C44" s="259"/>
      <c r="D44" s="25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67CA2-CD16-4791-AADE-24DF0AC997A5}">
  <dimension ref="A2:C16"/>
  <sheetViews>
    <sheetView workbookViewId="0">
      <selection activeCell="C23" sqref="C23"/>
    </sheetView>
  </sheetViews>
  <sheetFormatPr defaultRowHeight="14.5" x14ac:dyDescent="0.35"/>
  <cols>
    <col min="1" max="1" width="5.453125" customWidth="1"/>
    <col min="2" max="3" width="38.453125" customWidth="1"/>
  </cols>
  <sheetData>
    <row r="2" spans="1:3" ht="18.5" x14ac:dyDescent="0.35">
      <c r="A2" s="363" t="s">
        <v>485</v>
      </c>
      <c r="B2" s="361"/>
      <c r="C2" s="362"/>
    </row>
    <row r="3" spans="1:3" ht="15.5" x14ac:dyDescent="0.35">
      <c r="A3" s="361"/>
      <c r="B3" s="361"/>
      <c r="C3" s="362"/>
    </row>
    <row r="4" spans="1:3" x14ac:dyDescent="0.35">
      <c r="A4" s="364"/>
      <c r="B4" s="365" t="s">
        <v>62</v>
      </c>
      <c r="C4" s="366" t="s">
        <v>226</v>
      </c>
    </row>
    <row r="5" spans="1:3" x14ac:dyDescent="0.35">
      <c r="A5" s="367"/>
      <c r="B5" s="368"/>
      <c r="C5" s="369" t="s">
        <v>486</v>
      </c>
    </row>
    <row r="6" spans="1:3" x14ac:dyDescent="0.35">
      <c r="A6" s="367"/>
      <c r="B6" s="370" t="s">
        <v>487</v>
      </c>
      <c r="C6" s="371"/>
    </row>
    <row r="7" spans="1:3" x14ac:dyDescent="0.35">
      <c r="A7" s="372">
        <v>1</v>
      </c>
      <c r="B7" s="373" t="s">
        <v>488</v>
      </c>
      <c r="C7" s="374">
        <v>6516.6799362222973</v>
      </c>
    </row>
    <row r="8" spans="1:3" x14ac:dyDescent="0.35">
      <c r="A8" s="372">
        <v>2</v>
      </c>
      <c r="B8" s="373" t="s">
        <v>489</v>
      </c>
      <c r="C8" s="374">
        <v>704.38680103999968</v>
      </c>
    </row>
    <row r="9" spans="1:3" x14ac:dyDescent="0.35">
      <c r="A9" s="372">
        <v>3</v>
      </c>
      <c r="B9" s="373" t="s">
        <v>490</v>
      </c>
      <c r="C9" s="374">
        <v>122.1942164500001</v>
      </c>
    </row>
    <row r="10" spans="1:3" x14ac:dyDescent="0.35">
      <c r="A10" s="372">
        <v>4</v>
      </c>
      <c r="B10" s="373" t="s">
        <v>491</v>
      </c>
      <c r="C10" s="374">
        <v>0</v>
      </c>
    </row>
    <row r="11" spans="1:3" x14ac:dyDescent="0.35">
      <c r="A11" s="372"/>
      <c r="B11" s="375" t="s">
        <v>492</v>
      </c>
      <c r="C11" s="376"/>
    </row>
    <row r="12" spans="1:3" x14ac:dyDescent="0.35">
      <c r="A12" s="372">
        <v>5</v>
      </c>
      <c r="B12" s="377" t="s">
        <v>493</v>
      </c>
      <c r="C12" s="374">
        <v>0</v>
      </c>
    </row>
    <row r="13" spans="1:3" x14ac:dyDescent="0.35">
      <c r="A13" s="372">
        <v>6</v>
      </c>
      <c r="B13" s="377" t="s">
        <v>494</v>
      </c>
      <c r="C13" s="374">
        <v>3.0242754048898477</v>
      </c>
    </row>
    <row r="14" spans="1:3" x14ac:dyDescent="0.35">
      <c r="A14" s="372">
        <v>7</v>
      </c>
      <c r="B14" s="377" t="s">
        <v>495</v>
      </c>
      <c r="C14" s="374">
        <v>0</v>
      </c>
    </row>
    <row r="15" spans="1:3" x14ac:dyDescent="0.35">
      <c r="A15" s="372">
        <v>8</v>
      </c>
      <c r="B15" s="368" t="s">
        <v>496</v>
      </c>
      <c r="C15" s="374">
        <v>0</v>
      </c>
    </row>
    <row r="16" spans="1:3" x14ac:dyDescent="0.35">
      <c r="A16" s="372">
        <v>9</v>
      </c>
      <c r="B16" s="375" t="s">
        <v>300</v>
      </c>
      <c r="C16" s="374">
        <f>SUM(C7:C15)</f>
        <v>7346.2852291171866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C88D1-4ADA-4D1C-B4DA-E5112DB77075}">
  <dimension ref="A2:F14"/>
  <sheetViews>
    <sheetView workbookViewId="0">
      <selection activeCell="C14" sqref="C14"/>
    </sheetView>
  </sheetViews>
  <sheetFormatPr defaultRowHeight="14.5" x14ac:dyDescent="0.35"/>
  <cols>
    <col min="2" max="2" width="26.26953125" customWidth="1"/>
    <col min="3" max="3" width="19.7265625" customWidth="1"/>
    <col min="4" max="4" width="18.26953125" customWidth="1"/>
    <col min="5" max="5" width="20" customWidth="1"/>
    <col min="6" max="6" width="19.453125" customWidth="1"/>
  </cols>
  <sheetData>
    <row r="2" spans="1:6" ht="18.5" x14ac:dyDescent="0.35">
      <c r="A2" s="378" t="s">
        <v>497</v>
      </c>
      <c r="B2" s="379"/>
      <c r="C2" s="380"/>
      <c r="D2" s="379"/>
      <c r="E2" s="379"/>
      <c r="F2" s="379"/>
    </row>
    <row r="3" spans="1:6" x14ac:dyDescent="0.35">
      <c r="A3" s="379"/>
      <c r="B3" s="379"/>
      <c r="C3" s="379"/>
      <c r="D3" s="379"/>
      <c r="E3" s="379"/>
      <c r="F3" s="379"/>
    </row>
    <row r="4" spans="1:6" x14ac:dyDescent="0.35">
      <c r="B4" s="379"/>
      <c r="C4" s="379"/>
      <c r="D4" s="379"/>
      <c r="E4" s="379"/>
      <c r="F4" s="379"/>
    </row>
    <row r="5" spans="1:6" x14ac:dyDescent="0.35">
      <c r="B5" s="379"/>
      <c r="C5" s="379"/>
      <c r="D5" s="379"/>
      <c r="E5" s="379"/>
      <c r="F5" s="379"/>
    </row>
    <row r="6" spans="1:6" x14ac:dyDescent="0.35">
      <c r="A6" s="560" t="s">
        <v>498</v>
      </c>
      <c r="B6" s="561"/>
      <c r="C6" s="381" t="s">
        <v>226</v>
      </c>
      <c r="D6" s="381" t="s">
        <v>227</v>
      </c>
      <c r="E6" s="381" t="s">
        <v>228</v>
      </c>
      <c r="F6" s="381" t="s">
        <v>275</v>
      </c>
    </row>
    <row r="7" spans="1:6" ht="33" customHeight="1" x14ac:dyDescent="0.35">
      <c r="A7" s="562"/>
      <c r="B7" s="563"/>
      <c r="C7" s="566" t="s">
        <v>499</v>
      </c>
      <c r="D7" s="567"/>
      <c r="E7" s="566" t="s">
        <v>500</v>
      </c>
      <c r="F7" s="567"/>
    </row>
    <row r="8" spans="1:6" x14ac:dyDescent="0.35">
      <c r="A8" s="564"/>
      <c r="B8" s="565"/>
      <c r="C8" s="382" t="s">
        <v>501</v>
      </c>
      <c r="D8" s="382" t="s">
        <v>502</v>
      </c>
      <c r="E8" s="382" t="s">
        <v>501</v>
      </c>
      <c r="F8" s="382" t="s">
        <v>502</v>
      </c>
    </row>
    <row r="9" spans="1:6" x14ac:dyDescent="0.35">
      <c r="A9" s="382">
        <v>1</v>
      </c>
      <c r="B9" s="383" t="s">
        <v>503</v>
      </c>
      <c r="C9" s="384">
        <v>-37.171851760080621</v>
      </c>
      <c r="D9" s="384">
        <v>-8.9210114228346136</v>
      </c>
      <c r="E9" s="382">
        <v>224</v>
      </c>
      <c r="F9" s="382">
        <v>187</v>
      </c>
    </row>
    <row r="10" spans="1:6" x14ac:dyDescent="0.35">
      <c r="A10" s="382">
        <v>2</v>
      </c>
      <c r="B10" s="385" t="s">
        <v>504</v>
      </c>
      <c r="C10" s="384">
        <v>32.893361866978147</v>
      </c>
      <c r="D10" s="384">
        <v>1.567432848911543</v>
      </c>
      <c r="E10" s="382">
        <f>-E9</f>
        <v>-224</v>
      </c>
      <c r="F10" s="382">
        <f>-F9</f>
        <v>-187</v>
      </c>
    </row>
    <row r="11" spans="1:6" x14ac:dyDescent="0.35">
      <c r="A11" s="382">
        <v>3</v>
      </c>
      <c r="B11" s="383" t="s">
        <v>505</v>
      </c>
      <c r="C11" s="384">
        <v>4.0536450764841057</v>
      </c>
      <c r="D11" s="384">
        <v>-15.386624087197934</v>
      </c>
      <c r="E11" s="386"/>
      <c r="F11" s="386"/>
    </row>
    <row r="12" spans="1:6" x14ac:dyDescent="0.35">
      <c r="A12" s="382">
        <v>4</v>
      </c>
      <c r="B12" s="383" t="s">
        <v>506</v>
      </c>
      <c r="C12" s="384">
        <v>-14.572963726225684</v>
      </c>
      <c r="D12" s="384">
        <v>9.3584437381189254</v>
      </c>
      <c r="E12" s="386"/>
      <c r="F12" s="386"/>
    </row>
    <row r="13" spans="1:6" x14ac:dyDescent="0.35">
      <c r="A13" s="382">
        <v>5</v>
      </c>
      <c r="B13" s="383" t="s">
        <v>507</v>
      </c>
      <c r="C13" s="384">
        <v>-26.357080019488453</v>
      </c>
      <c r="D13" s="384">
        <v>5.4260821069790506</v>
      </c>
      <c r="E13" s="386"/>
      <c r="F13" s="386"/>
    </row>
    <row r="14" spans="1:6" x14ac:dyDescent="0.35">
      <c r="A14" s="387">
        <v>6</v>
      </c>
      <c r="B14" s="383" t="s">
        <v>508</v>
      </c>
      <c r="C14" s="384">
        <v>21.309967469205304</v>
      </c>
      <c r="D14" s="384">
        <v>-2.9733202634945366</v>
      </c>
      <c r="E14" s="386"/>
      <c r="F14" s="386"/>
    </row>
  </sheetData>
  <mergeCells count="3">
    <mergeCell ref="A6:B8"/>
    <mergeCell ref="C7:D7"/>
    <mergeCell ref="E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80039-232E-49BC-BF25-7AF99B47E22A}">
  <dimension ref="A1:I28"/>
  <sheetViews>
    <sheetView tabSelected="1" workbookViewId="0">
      <selection sqref="A1:E1"/>
    </sheetView>
  </sheetViews>
  <sheetFormatPr defaultRowHeight="14.5" x14ac:dyDescent="0.35"/>
  <cols>
    <col min="1" max="1" width="87.54296875" customWidth="1"/>
    <col min="2" max="2" width="12.453125" customWidth="1"/>
    <col min="3" max="3" width="13.453125" customWidth="1"/>
    <col min="4" max="4" width="13.54296875" customWidth="1"/>
    <col min="5" max="5" width="13.26953125" customWidth="1"/>
  </cols>
  <sheetData>
    <row r="1" spans="1:9" ht="55.5" customHeight="1" x14ac:dyDescent="0.45">
      <c r="A1" s="488" t="s">
        <v>59</v>
      </c>
      <c r="B1" s="488"/>
      <c r="C1" s="488"/>
      <c r="D1" s="488"/>
      <c r="E1" s="488"/>
    </row>
    <row r="2" spans="1:9" ht="38.5" customHeight="1" x14ac:dyDescent="0.35">
      <c r="A2" s="462"/>
      <c r="B2" s="462"/>
      <c r="C2" s="463"/>
      <c r="D2" s="462"/>
      <c r="E2" s="462"/>
    </row>
    <row r="3" spans="1:9" x14ac:dyDescent="0.35">
      <c r="A3" s="492"/>
      <c r="B3" s="493" t="s">
        <v>60</v>
      </c>
      <c r="C3" s="493"/>
      <c r="D3" s="493" t="s">
        <v>61</v>
      </c>
      <c r="E3" s="493"/>
    </row>
    <row r="4" spans="1:9" x14ac:dyDescent="0.35">
      <c r="A4" s="492"/>
      <c r="B4" s="465" t="s">
        <v>62</v>
      </c>
      <c r="C4" s="465" t="s">
        <v>63</v>
      </c>
      <c r="D4" s="465" t="s">
        <v>62</v>
      </c>
      <c r="E4" s="465" t="s">
        <v>63</v>
      </c>
      <c r="I4" s="464"/>
    </row>
    <row r="5" spans="1:9" x14ac:dyDescent="0.35">
      <c r="A5" s="466" t="s">
        <v>64</v>
      </c>
      <c r="B5" s="467">
        <v>4383.30942624</v>
      </c>
      <c r="C5" s="468">
        <v>6.9639637713540314E-2</v>
      </c>
      <c r="D5" s="467">
        <v>3110.6401200800001</v>
      </c>
      <c r="E5" s="468">
        <v>7.1989843235700193E-2</v>
      </c>
    </row>
    <row r="6" spans="1:9" x14ac:dyDescent="0.35">
      <c r="A6" s="466" t="s">
        <v>65</v>
      </c>
      <c r="B6" s="467">
        <v>1223.0028183200002</v>
      </c>
      <c r="C6" s="468">
        <v>1.9430404041428099E-2</v>
      </c>
      <c r="D6" s="467">
        <v>894.72860407999997</v>
      </c>
      <c r="E6" s="468">
        <v>2.0706790068842653E-2</v>
      </c>
    </row>
    <row r="7" spans="1:9" x14ac:dyDescent="0.35">
      <c r="A7" s="466" t="s">
        <v>66</v>
      </c>
      <c r="B7" s="467">
        <v>663.80674399999998</v>
      </c>
      <c r="C7" s="468">
        <v>1.0546200751248017E-2</v>
      </c>
      <c r="D7" s="467">
        <v>382.28570704000003</v>
      </c>
      <c r="E7" s="468">
        <v>8.8472748561960399E-3</v>
      </c>
    </row>
    <row r="8" spans="1:9" x14ac:dyDescent="0.35">
      <c r="A8" s="466" t="s">
        <v>67</v>
      </c>
      <c r="B8" s="467">
        <v>18.2</v>
      </c>
      <c r="C8" s="468">
        <v>2.8915170779390863E-4</v>
      </c>
      <c r="D8" s="467">
        <v>38.9</v>
      </c>
      <c r="E8" s="468">
        <v>9.00266438342188E-4</v>
      </c>
      <c r="I8" s="464"/>
    </row>
    <row r="9" spans="1:9" x14ac:dyDescent="0.35">
      <c r="A9" s="469" t="s">
        <v>68</v>
      </c>
      <c r="B9" s="470">
        <f>SUM(B5:B8)</f>
        <v>6288.3189885599995</v>
      </c>
      <c r="C9" s="471">
        <f>SUM(C5:C8)</f>
        <v>9.9905394214010332E-2</v>
      </c>
      <c r="D9" s="470">
        <f>SUM(D5:D8)</f>
        <v>4426.5544312000002</v>
      </c>
      <c r="E9" s="471">
        <f>SUM(E5:E8)</f>
        <v>0.10244417459908108</v>
      </c>
    </row>
    <row r="10" spans="1:9" x14ac:dyDescent="0.35">
      <c r="A10" s="466" t="s">
        <v>69</v>
      </c>
      <c r="B10" s="472">
        <v>0</v>
      </c>
      <c r="C10" s="473">
        <v>0</v>
      </c>
      <c r="D10" s="472">
        <v>0</v>
      </c>
      <c r="E10" s="473">
        <v>0</v>
      </c>
    </row>
    <row r="11" spans="1:9" ht="15.5" x14ac:dyDescent="0.35">
      <c r="A11" s="474"/>
      <c r="B11" s="475"/>
      <c r="C11" s="476"/>
      <c r="D11" s="475"/>
      <c r="E11" s="476"/>
    </row>
    <row r="12" spans="1:9" x14ac:dyDescent="0.35">
      <c r="A12" s="469" t="s">
        <v>70</v>
      </c>
      <c r="B12" s="470">
        <f>MAX(B9,I4)</f>
        <v>6288.3189885599995</v>
      </c>
      <c r="C12" s="471">
        <v>9.9905394214010332E-2</v>
      </c>
      <c r="D12" s="470">
        <f>MAX(D9,I8)</f>
        <v>4426.5544312000002</v>
      </c>
      <c r="E12" s="471">
        <v>0.10244417459908108</v>
      </c>
    </row>
    <row r="13" spans="1:9" x14ac:dyDescent="0.35">
      <c r="A13" s="466" t="s">
        <v>71</v>
      </c>
      <c r="B13" s="467">
        <v>9143.969771</v>
      </c>
      <c r="C13" s="477">
        <v>0.14527442171980909</v>
      </c>
      <c r="D13" s="467">
        <v>9208.479969</v>
      </c>
      <c r="E13" s="477">
        <v>0.21311273686984605</v>
      </c>
    </row>
    <row r="14" spans="1:9" x14ac:dyDescent="0.35">
      <c r="A14" s="466" t="s">
        <v>72</v>
      </c>
      <c r="B14" s="467">
        <v>9846.5109740000007</v>
      </c>
      <c r="C14" s="477">
        <v>0.15643601450239356</v>
      </c>
      <c r="D14" s="467">
        <v>9637.479969</v>
      </c>
      <c r="E14" s="477">
        <v>0.2230411250973216</v>
      </c>
    </row>
    <row r="15" spans="1:9" x14ac:dyDescent="0.35">
      <c r="A15" s="466" t="s">
        <v>73</v>
      </c>
      <c r="B15" s="467">
        <v>11230.407438</v>
      </c>
      <c r="C15" s="477">
        <v>0.17842260933621507</v>
      </c>
      <c r="D15" s="467">
        <v>10537.479969</v>
      </c>
      <c r="E15" s="477">
        <v>0.24386991158852903</v>
      </c>
    </row>
    <row r="16" spans="1:9" x14ac:dyDescent="0.35">
      <c r="A16" s="469" t="s">
        <v>74</v>
      </c>
      <c r="B16" s="469"/>
      <c r="C16" s="469"/>
      <c r="D16" s="469"/>
      <c r="E16" s="469"/>
    </row>
    <row r="17" spans="1:5" x14ac:dyDescent="0.35">
      <c r="A17" s="494" t="s">
        <v>75</v>
      </c>
      <c r="B17" s="494"/>
      <c r="C17" s="494"/>
      <c r="D17" s="494"/>
      <c r="E17" s="494"/>
    </row>
    <row r="18" spans="1:5" ht="59.15" customHeight="1" x14ac:dyDescent="0.35">
      <c r="A18" s="495" t="s">
        <v>76</v>
      </c>
      <c r="B18" s="495"/>
      <c r="C18" s="495"/>
      <c r="D18" s="495"/>
      <c r="E18" s="495"/>
    </row>
    <row r="19" spans="1:5" ht="26.5" customHeight="1" x14ac:dyDescent="0.35">
      <c r="A19" s="495" t="s">
        <v>77</v>
      </c>
      <c r="B19" s="495"/>
      <c r="C19" s="495"/>
      <c r="D19" s="495"/>
      <c r="E19" s="495"/>
    </row>
    <row r="20" spans="1:5" ht="29.15" customHeight="1" x14ac:dyDescent="0.35">
      <c r="A20" s="497" t="s">
        <v>78</v>
      </c>
      <c r="B20" s="497"/>
      <c r="C20" s="497"/>
      <c r="D20" s="497"/>
      <c r="E20" s="497"/>
    </row>
    <row r="21" spans="1:5" x14ac:dyDescent="0.35">
      <c r="A21" s="489" t="s">
        <v>79</v>
      </c>
      <c r="B21" s="489"/>
      <c r="C21" s="489"/>
      <c r="D21" s="489"/>
      <c r="E21" s="489"/>
    </row>
    <row r="22" spans="1:5" ht="131.5" customHeight="1" x14ac:dyDescent="0.35">
      <c r="A22" s="496" t="s">
        <v>80</v>
      </c>
      <c r="B22" s="496"/>
      <c r="C22" s="496"/>
      <c r="D22" s="496"/>
      <c r="E22" s="496"/>
    </row>
    <row r="23" spans="1:5" x14ac:dyDescent="0.35">
      <c r="A23" s="489" t="s">
        <v>81</v>
      </c>
      <c r="B23" s="489"/>
      <c r="C23" s="489"/>
      <c r="D23" s="489"/>
      <c r="E23" s="489"/>
    </row>
    <row r="24" spans="1:5" ht="90.65" customHeight="1" x14ac:dyDescent="0.35">
      <c r="A24" s="490" t="s">
        <v>82</v>
      </c>
      <c r="B24" s="490"/>
      <c r="C24" s="490"/>
      <c r="D24" s="490"/>
      <c r="E24" s="490"/>
    </row>
    <row r="25" spans="1:5" x14ac:dyDescent="0.35">
      <c r="A25" s="489" t="s">
        <v>83</v>
      </c>
      <c r="B25" s="489"/>
      <c r="C25" s="489"/>
      <c r="D25" s="489"/>
      <c r="E25" s="489"/>
    </row>
    <row r="26" spans="1:5" ht="51" customHeight="1" x14ac:dyDescent="0.35">
      <c r="A26" s="491" t="s">
        <v>84</v>
      </c>
      <c r="B26" s="491"/>
      <c r="C26" s="491"/>
      <c r="D26" s="491"/>
      <c r="E26" s="491"/>
    </row>
    <row r="27" spans="1:5" x14ac:dyDescent="0.35">
      <c r="A27" s="489" t="s">
        <v>85</v>
      </c>
      <c r="B27" s="489"/>
      <c r="C27" s="489"/>
      <c r="D27" s="489"/>
      <c r="E27" s="489"/>
    </row>
    <row r="28" spans="1:5" ht="43.5" customHeight="1" x14ac:dyDescent="0.35">
      <c r="A28" s="495" t="s">
        <v>86</v>
      </c>
      <c r="B28" s="495"/>
      <c r="C28" s="495"/>
      <c r="D28" s="495"/>
      <c r="E28" s="495"/>
    </row>
  </sheetData>
  <mergeCells count="16">
    <mergeCell ref="A27:E27"/>
    <mergeCell ref="A28:E28"/>
    <mergeCell ref="A22:E22"/>
    <mergeCell ref="A20:E20"/>
    <mergeCell ref="A21:E21"/>
    <mergeCell ref="A1:E1"/>
    <mergeCell ref="A23:E23"/>
    <mergeCell ref="A24:E24"/>
    <mergeCell ref="A25:E25"/>
    <mergeCell ref="A26:E26"/>
    <mergeCell ref="A3:A4"/>
    <mergeCell ref="B3:C3"/>
    <mergeCell ref="D3:E3"/>
    <mergeCell ref="A17:E17"/>
    <mergeCell ref="A18:E18"/>
    <mergeCell ref="A19:E19"/>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C96EC-F161-4497-A392-A1DCF9E7F039}">
  <dimension ref="A2:J44"/>
  <sheetViews>
    <sheetView workbookViewId="0">
      <selection activeCell="A2" sqref="A2"/>
    </sheetView>
  </sheetViews>
  <sheetFormatPr defaultRowHeight="14.5" x14ac:dyDescent="0.35"/>
  <cols>
    <col min="1" max="1" width="12.81640625" customWidth="1"/>
    <col min="2" max="2" width="74.1796875" customWidth="1"/>
    <col min="3" max="3" width="13.7265625" style="388" customWidth="1"/>
    <col min="4" max="4" width="13.54296875" style="388" customWidth="1"/>
    <col min="5" max="5" width="12.54296875" style="388" customWidth="1"/>
    <col min="6" max="6" width="11.1796875" style="388" customWidth="1"/>
    <col min="7" max="7" width="12.54296875" style="388" customWidth="1"/>
    <col min="10" max="10" width="13.54296875" bestFit="1" customWidth="1"/>
  </cols>
  <sheetData>
    <row r="2" spans="1:10" ht="18.5" x14ac:dyDescent="0.35">
      <c r="A2" s="363" t="s">
        <v>509</v>
      </c>
    </row>
    <row r="3" spans="1:10" ht="15.5" x14ac:dyDescent="0.35">
      <c r="A3" s="389" t="s">
        <v>510</v>
      </c>
    </row>
    <row r="4" spans="1:10" ht="15" thickBot="1" x14ac:dyDescent="0.4">
      <c r="A4" s="390"/>
      <c r="B4" s="390"/>
      <c r="C4" s="391"/>
      <c r="D4" s="391"/>
      <c r="E4" s="391"/>
      <c r="F4" s="391"/>
      <c r="G4" s="391"/>
    </row>
    <row r="5" spans="1:10" ht="15" thickBot="1" x14ac:dyDescent="0.4">
      <c r="A5" s="568"/>
      <c r="B5" s="569"/>
      <c r="C5" s="392" t="s">
        <v>226</v>
      </c>
      <c r="D5" s="392" t="s">
        <v>227</v>
      </c>
      <c r="E5" s="393" t="s">
        <v>228</v>
      </c>
      <c r="F5" s="394" t="s">
        <v>275</v>
      </c>
      <c r="G5" s="395" t="s">
        <v>276</v>
      </c>
    </row>
    <row r="6" spans="1:10" ht="15" thickBot="1" x14ac:dyDescent="0.4">
      <c r="A6" s="570" t="s">
        <v>62</v>
      </c>
      <c r="B6" s="571"/>
      <c r="C6" s="574" t="s">
        <v>511</v>
      </c>
      <c r="D6" s="575"/>
      <c r="E6" s="575"/>
      <c r="F6" s="576"/>
      <c r="G6" s="577" t="s">
        <v>512</v>
      </c>
    </row>
    <row r="7" spans="1:10" ht="29.5" thickBot="1" x14ac:dyDescent="0.4">
      <c r="A7" s="572"/>
      <c r="B7" s="573"/>
      <c r="C7" s="396" t="s">
        <v>513</v>
      </c>
      <c r="D7" s="396" t="s">
        <v>514</v>
      </c>
      <c r="E7" s="396" t="s">
        <v>515</v>
      </c>
      <c r="F7" s="397" t="s">
        <v>516</v>
      </c>
      <c r="G7" s="578"/>
    </row>
    <row r="8" spans="1:10" ht="15" thickBot="1" x14ac:dyDescent="0.4">
      <c r="A8" s="398" t="s">
        <v>517</v>
      </c>
      <c r="B8" s="399"/>
      <c r="C8" s="400"/>
      <c r="D8" s="401"/>
      <c r="E8" s="400"/>
      <c r="F8" s="400"/>
      <c r="G8" s="402"/>
      <c r="J8" s="388"/>
    </row>
    <row r="9" spans="1:10" ht="15" thickBot="1" x14ac:dyDescent="0.4">
      <c r="A9" s="403">
        <v>1</v>
      </c>
      <c r="B9" s="404" t="s">
        <v>518</v>
      </c>
      <c r="C9" s="405"/>
      <c r="D9" s="406" t="s">
        <v>519</v>
      </c>
      <c r="E9" s="407" t="s">
        <v>519</v>
      </c>
      <c r="F9" s="408">
        <v>11873</v>
      </c>
      <c r="G9" s="409">
        <v>11873</v>
      </c>
    </row>
    <row r="10" spans="1:10" ht="15" thickBot="1" x14ac:dyDescent="0.4">
      <c r="A10" s="410">
        <v>2</v>
      </c>
      <c r="B10" s="411" t="s">
        <v>520</v>
      </c>
      <c r="C10" s="412"/>
      <c r="D10" s="412" t="s">
        <v>519</v>
      </c>
      <c r="E10" s="413" t="s">
        <v>519</v>
      </c>
      <c r="F10" s="414">
        <v>11524</v>
      </c>
      <c r="G10" s="415">
        <v>11524</v>
      </c>
    </row>
    <row r="11" spans="1:10" ht="15" thickBot="1" x14ac:dyDescent="0.4">
      <c r="A11" s="410">
        <v>3</v>
      </c>
      <c r="B11" s="411" t="s">
        <v>521</v>
      </c>
      <c r="C11" s="416"/>
      <c r="D11" s="412" t="s">
        <v>519</v>
      </c>
      <c r="E11" s="413" t="s">
        <v>519</v>
      </c>
      <c r="F11" s="414">
        <v>348</v>
      </c>
      <c r="G11" s="415">
        <v>348</v>
      </c>
    </row>
    <row r="12" spans="1:10" ht="15" thickBot="1" x14ac:dyDescent="0.4">
      <c r="A12" s="417">
        <v>4</v>
      </c>
      <c r="B12" s="404" t="s">
        <v>522</v>
      </c>
      <c r="C12" s="416"/>
      <c r="D12" s="406">
        <v>77898</v>
      </c>
      <c r="E12" s="407">
        <v>10</v>
      </c>
      <c r="F12" s="418">
        <v>241</v>
      </c>
      <c r="G12" s="419">
        <v>73457</v>
      </c>
    </row>
    <row r="13" spans="1:10" ht="15" thickBot="1" x14ac:dyDescent="0.4">
      <c r="A13" s="410">
        <v>5</v>
      </c>
      <c r="B13" s="411" t="s">
        <v>523</v>
      </c>
      <c r="C13" s="416"/>
      <c r="D13" s="420">
        <v>61959</v>
      </c>
      <c r="E13" s="421">
        <v>4</v>
      </c>
      <c r="F13" s="414">
        <v>36</v>
      </c>
      <c r="G13" s="415">
        <v>58901</v>
      </c>
    </row>
    <row r="14" spans="1:10" ht="15" thickBot="1" x14ac:dyDescent="0.4">
      <c r="A14" s="410">
        <v>6</v>
      </c>
      <c r="B14" s="411" t="s">
        <v>524</v>
      </c>
      <c r="C14" s="416"/>
      <c r="D14" s="420">
        <v>15939</v>
      </c>
      <c r="E14" s="421">
        <v>6</v>
      </c>
      <c r="F14" s="414">
        <v>205</v>
      </c>
      <c r="G14" s="415">
        <v>14556</v>
      </c>
    </row>
    <row r="15" spans="1:10" ht="15" thickBot="1" x14ac:dyDescent="0.4">
      <c r="A15" s="417">
        <v>7</v>
      </c>
      <c r="B15" s="404" t="s">
        <v>525</v>
      </c>
      <c r="C15" s="416"/>
      <c r="D15" s="406">
        <v>10852</v>
      </c>
      <c r="E15" s="407" t="s">
        <v>519</v>
      </c>
      <c r="F15" s="418" t="s">
        <v>519</v>
      </c>
      <c r="G15" s="419">
        <v>4606</v>
      </c>
    </row>
    <row r="16" spans="1:10" ht="15" thickBot="1" x14ac:dyDescent="0.4">
      <c r="A16" s="410">
        <v>8</v>
      </c>
      <c r="B16" s="411" t="s">
        <v>526</v>
      </c>
      <c r="C16" s="416"/>
      <c r="D16" s="422" t="s">
        <v>519</v>
      </c>
      <c r="E16" s="421" t="s">
        <v>519</v>
      </c>
      <c r="F16" s="414" t="s">
        <v>519</v>
      </c>
      <c r="G16" s="415" t="s">
        <v>519</v>
      </c>
    </row>
    <row r="17" spans="1:7" ht="15" thickBot="1" x14ac:dyDescent="0.4">
      <c r="A17" s="410">
        <v>9</v>
      </c>
      <c r="B17" s="423" t="s">
        <v>527</v>
      </c>
      <c r="C17" s="416"/>
      <c r="D17" s="420">
        <v>10852</v>
      </c>
      <c r="E17" s="421" t="s">
        <v>519</v>
      </c>
      <c r="F17" s="414" t="s">
        <v>519</v>
      </c>
      <c r="G17" s="415">
        <v>4606</v>
      </c>
    </row>
    <row r="18" spans="1:7" ht="15" thickBot="1" x14ac:dyDescent="0.4">
      <c r="A18" s="417">
        <v>10</v>
      </c>
      <c r="B18" s="404" t="s">
        <v>528</v>
      </c>
      <c r="C18" s="416"/>
      <c r="D18" s="406" t="s">
        <v>519</v>
      </c>
      <c r="E18" s="407" t="s">
        <v>519</v>
      </c>
      <c r="F18" s="418" t="s">
        <v>519</v>
      </c>
      <c r="G18" s="419" t="s">
        <v>519</v>
      </c>
    </row>
    <row r="19" spans="1:7" ht="15" thickBot="1" x14ac:dyDescent="0.4">
      <c r="A19" s="417">
        <v>11</v>
      </c>
      <c r="B19" s="404" t="s">
        <v>529</v>
      </c>
      <c r="C19" s="406"/>
      <c r="D19" s="406">
        <v>8114</v>
      </c>
      <c r="E19" s="407" t="s">
        <v>519</v>
      </c>
      <c r="F19" s="418" t="s">
        <v>519</v>
      </c>
      <c r="G19" s="419" t="s">
        <v>519</v>
      </c>
    </row>
    <row r="20" spans="1:7" ht="15" thickBot="1" x14ac:dyDescent="0.4">
      <c r="A20" s="410">
        <v>12</v>
      </c>
      <c r="B20" s="411" t="s">
        <v>530</v>
      </c>
      <c r="C20" s="420" t="s">
        <v>519</v>
      </c>
      <c r="D20" s="416"/>
      <c r="E20" s="424"/>
      <c r="F20" s="425"/>
      <c r="G20" s="426"/>
    </row>
    <row r="21" spans="1:7" ht="15" thickBot="1" x14ac:dyDescent="0.4">
      <c r="A21" s="410">
        <v>13</v>
      </c>
      <c r="B21" s="411" t="s">
        <v>531</v>
      </c>
      <c r="C21" s="416"/>
      <c r="D21" s="420">
        <v>8114</v>
      </c>
      <c r="E21" s="421" t="s">
        <v>519</v>
      </c>
      <c r="F21" s="414" t="s">
        <v>519</v>
      </c>
      <c r="G21" s="415" t="s">
        <v>519</v>
      </c>
    </row>
    <row r="22" spans="1:7" ht="15" thickBot="1" x14ac:dyDescent="0.4">
      <c r="A22" s="427">
        <v>14</v>
      </c>
      <c r="B22" s="428" t="s">
        <v>532</v>
      </c>
      <c r="C22" s="429"/>
      <c r="D22" s="429"/>
      <c r="E22" s="430"/>
      <c r="F22" s="431"/>
      <c r="G22" s="432">
        <v>89936</v>
      </c>
    </row>
    <row r="23" spans="1:7" ht="15" thickBot="1" x14ac:dyDescent="0.4">
      <c r="A23" s="579" t="s">
        <v>533</v>
      </c>
      <c r="B23" s="580"/>
      <c r="C23" s="580"/>
      <c r="D23" s="580"/>
      <c r="E23" s="580"/>
      <c r="F23" s="580"/>
      <c r="G23" s="581"/>
    </row>
    <row r="24" spans="1:7" ht="15" thickBot="1" x14ac:dyDescent="0.4">
      <c r="A24" s="417">
        <v>15</v>
      </c>
      <c r="B24" s="404" t="s">
        <v>534</v>
      </c>
      <c r="C24" s="433"/>
      <c r="D24" s="434"/>
      <c r="E24" s="435"/>
      <c r="F24" s="436"/>
      <c r="G24" s="437">
        <v>1739</v>
      </c>
    </row>
    <row r="25" spans="1:7" ht="15" thickBot="1" x14ac:dyDescent="0.4">
      <c r="A25" s="417" t="s">
        <v>535</v>
      </c>
      <c r="B25" s="404" t="s">
        <v>536</v>
      </c>
      <c r="C25" s="438"/>
      <c r="D25" s="406" t="s">
        <v>519</v>
      </c>
      <c r="E25" s="407">
        <v>0</v>
      </c>
      <c r="F25" s="439">
        <v>0</v>
      </c>
      <c r="G25" s="419">
        <v>0</v>
      </c>
    </row>
    <row r="26" spans="1:7" ht="15" thickBot="1" x14ac:dyDescent="0.4">
      <c r="A26" s="417">
        <v>16</v>
      </c>
      <c r="B26" s="404" t="s">
        <v>537</v>
      </c>
      <c r="C26" s="433"/>
      <c r="D26" s="406" t="s">
        <v>519</v>
      </c>
      <c r="E26" s="407">
        <v>0</v>
      </c>
      <c r="F26" s="439">
        <v>0</v>
      </c>
      <c r="G26" s="419">
        <v>0</v>
      </c>
    </row>
    <row r="27" spans="1:7" ht="15" thickBot="1" x14ac:dyDescent="0.4">
      <c r="A27" s="417">
        <v>17</v>
      </c>
      <c r="B27" s="404" t="s">
        <v>538</v>
      </c>
      <c r="C27" s="433"/>
      <c r="D27" s="406">
        <v>2649</v>
      </c>
      <c r="E27" s="407">
        <v>1843</v>
      </c>
      <c r="F27" s="439">
        <v>43014</v>
      </c>
      <c r="G27" s="419">
        <v>39122</v>
      </c>
    </row>
    <row r="28" spans="1:7" ht="44" thickBot="1" x14ac:dyDescent="0.4">
      <c r="A28" s="410">
        <v>18</v>
      </c>
      <c r="B28" s="440" t="s">
        <v>539</v>
      </c>
      <c r="C28" s="433"/>
      <c r="D28" s="420" t="s">
        <v>519</v>
      </c>
      <c r="E28" s="421" t="s">
        <v>519</v>
      </c>
      <c r="F28" s="441" t="s">
        <v>519</v>
      </c>
      <c r="G28" s="415" t="s">
        <v>519</v>
      </c>
    </row>
    <row r="29" spans="1:7" ht="29.5" thickBot="1" x14ac:dyDescent="0.4">
      <c r="A29" s="410">
        <v>19</v>
      </c>
      <c r="B29" s="411" t="s">
        <v>540</v>
      </c>
      <c r="C29" s="433"/>
      <c r="D29" s="420">
        <v>727</v>
      </c>
      <c r="E29" s="421">
        <v>100</v>
      </c>
      <c r="F29" s="441">
        <v>7663</v>
      </c>
      <c r="G29" s="415">
        <v>7780</v>
      </c>
    </row>
    <row r="30" spans="1:7" ht="29.5" thickBot="1" x14ac:dyDescent="0.4">
      <c r="A30" s="410">
        <v>20</v>
      </c>
      <c r="B30" s="411" t="s">
        <v>541</v>
      </c>
      <c r="C30" s="433"/>
      <c r="D30" s="420">
        <v>1438</v>
      </c>
      <c r="E30" s="421">
        <v>909</v>
      </c>
      <c r="F30" s="441">
        <v>26416</v>
      </c>
      <c r="G30" s="415">
        <v>26124</v>
      </c>
    </row>
    <row r="31" spans="1:7" ht="29.5" thickBot="1" x14ac:dyDescent="0.4">
      <c r="A31" s="410">
        <v>21</v>
      </c>
      <c r="B31" s="442" t="s">
        <v>542</v>
      </c>
      <c r="C31" s="433"/>
      <c r="D31" s="420">
        <v>6</v>
      </c>
      <c r="E31" s="421">
        <v>6</v>
      </c>
      <c r="F31" s="441">
        <v>389</v>
      </c>
      <c r="G31" s="415">
        <v>2823</v>
      </c>
    </row>
    <row r="32" spans="1:7" ht="15" thickBot="1" x14ac:dyDescent="0.4">
      <c r="A32" s="410">
        <v>22</v>
      </c>
      <c r="B32" s="411" t="s">
        <v>543</v>
      </c>
      <c r="C32" s="433"/>
      <c r="D32" s="420">
        <v>98</v>
      </c>
      <c r="E32" s="421">
        <v>99</v>
      </c>
      <c r="F32" s="441">
        <v>3807</v>
      </c>
      <c r="G32" s="415" t="s">
        <v>519</v>
      </c>
    </row>
    <row r="33" spans="1:7" ht="29.5" thickBot="1" x14ac:dyDescent="0.4">
      <c r="A33" s="410">
        <v>23</v>
      </c>
      <c r="B33" s="442" t="s">
        <v>542</v>
      </c>
      <c r="C33" s="433"/>
      <c r="D33" s="420">
        <v>98</v>
      </c>
      <c r="E33" s="421">
        <v>98</v>
      </c>
      <c r="F33" s="441">
        <v>3794</v>
      </c>
      <c r="G33" s="415" t="s">
        <v>519</v>
      </c>
    </row>
    <row r="34" spans="1:7" ht="44" thickBot="1" x14ac:dyDescent="0.4">
      <c r="A34" s="410">
        <v>24</v>
      </c>
      <c r="B34" s="411" t="s">
        <v>544</v>
      </c>
      <c r="C34" s="433"/>
      <c r="D34" s="420">
        <v>386</v>
      </c>
      <c r="E34" s="421">
        <v>735</v>
      </c>
      <c r="F34" s="441">
        <v>5129</v>
      </c>
      <c r="G34" s="415">
        <v>5218</v>
      </c>
    </row>
    <row r="35" spans="1:7" ht="15" thickBot="1" x14ac:dyDescent="0.4">
      <c r="A35" s="417">
        <v>25</v>
      </c>
      <c r="B35" s="404" t="s">
        <v>545</v>
      </c>
      <c r="C35" s="433"/>
      <c r="D35" s="406" t="s">
        <v>519</v>
      </c>
      <c r="E35" s="407" t="s">
        <v>519</v>
      </c>
      <c r="F35" s="439" t="s">
        <v>519</v>
      </c>
      <c r="G35" s="419" t="s">
        <v>519</v>
      </c>
    </row>
    <row r="36" spans="1:7" ht="15" thickBot="1" x14ac:dyDescent="0.4">
      <c r="A36" s="417">
        <v>26</v>
      </c>
      <c r="B36" s="404" t="s">
        <v>546</v>
      </c>
      <c r="C36" s="406" t="s">
        <v>519</v>
      </c>
      <c r="D36" s="443">
        <v>4514</v>
      </c>
      <c r="E36" s="444">
        <v>112</v>
      </c>
      <c r="F36" s="445">
        <v>23134</v>
      </c>
      <c r="G36" s="446">
        <v>23599</v>
      </c>
    </row>
    <row r="37" spans="1:7" ht="15" thickBot="1" x14ac:dyDescent="0.4">
      <c r="A37" s="410">
        <v>27</v>
      </c>
      <c r="B37" s="411" t="s">
        <v>547</v>
      </c>
      <c r="C37" s="433"/>
      <c r="D37" s="433"/>
      <c r="E37" s="447"/>
      <c r="F37" s="397" t="s">
        <v>519</v>
      </c>
      <c r="G37" s="448" t="s">
        <v>519</v>
      </c>
    </row>
    <row r="38" spans="1:7" ht="29.5" thickBot="1" x14ac:dyDescent="0.4">
      <c r="A38" s="410">
        <v>28</v>
      </c>
      <c r="B38" s="411" t="s">
        <v>548</v>
      </c>
      <c r="C38" s="433"/>
      <c r="D38" s="420">
        <v>28</v>
      </c>
      <c r="E38" s="449"/>
      <c r="F38" s="450"/>
      <c r="G38" s="415">
        <v>28</v>
      </c>
    </row>
    <row r="39" spans="1:7" ht="15" thickBot="1" x14ac:dyDescent="0.4">
      <c r="A39" s="410">
        <v>29</v>
      </c>
      <c r="B39" s="411" t="s">
        <v>549</v>
      </c>
      <c r="C39" s="451"/>
      <c r="D39" s="420">
        <v>39</v>
      </c>
      <c r="E39" s="452"/>
      <c r="F39" s="452"/>
      <c r="G39" s="415">
        <v>39</v>
      </c>
    </row>
    <row r="40" spans="1:7" ht="15" thickBot="1" x14ac:dyDescent="0.4">
      <c r="A40" s="410">
        <v>30</v>
      </c>
      <c r="B40" s="411" t="s">
        <v>550</v>
      </c>
      <c r="C40" s="433"/>
      <c r="D40" s="420">
        <v>10</v>
      </c>
      <c r="E40" s="433"/>
      <c r="F40" s="433"/>
      <c r="G40" s="415">
        <v>1</v>
      </c>
    </row>
    <row r="41" spans="1:7" ht="15" thickBot="1" x14ac:dyDescent="0.4">
      <c r="A41" s="410">
        <v>31</v>
      </c>
      <c r="B41" s="411" t="s">
        <v>551</v>
      </c>
      <c r="C41" s="433"/>
      <c r="D41" s="453">
        <v>4437</v>
      </c>
      <c r="E41" s="454">
        <v>112</v>
      </c>
      <c r="F41" s="441">
        <v>23134</v>
      </c>
      <c r="G41" s="415">
        <v>23533</v>
      </c>
    </row>
    <row r="42" spans="1:7" ht="15" thickBot="1" x14ac:dyDescent="0.4">
      <c r="A42" s="417">
        <v>32</v>
      </c>
      <c r="B42" s="404" t="s">
        <v>552</v>
      </c>
      <c r="C42" s="433"/>
      <c r="D42" s="455">
        <v>21566</v>
      </c>
      <c r="E42" s="456" t="s">
        <v>519</v>
      </c>
      <c r="F42" s="457" t="s">
        <v>519</v>
      </c>
      <c r="G42" s="458">
        <v>1078</v>
      </c>
    </row>
    <row r="43" spans="1:7" ht="15" thickBot="1" x14ac:dyDescent="0.4">
      <c r="A43" s="427">
        <v>33</v>
      </c>
      <c r="B43" s="428" t="s">
        <v>553</v>
      </c>
      <c r="C43" s="429"/>
      <c r="D43" s="429"/>
      <c r="E43" s="430"/>
      <c r="F43" s="459"/>
      <c r="G43" s="432">
        <v>65538</v>
      </c>
    </row>
    <row r="44" spans="1:7" ht="15" thickBot="1" x14ac:dyDescent="0.4">
      <c r="A44" s="427">
        <v>34</v>
      </c>
      <c r="B44" s="460" t="s">
        <v>554</v>
      </c>
      <c r="C44" s="429"/>
      <c r="D44" s="429"/>
      <c r="E44" s="430"/>
      <c r="F44" s="430"/>
      <c r="G44" s="461">
        <v>1.3723000000000001</v>
      </c>
    </row>
  </sheetData>
  <mergeCells count="5">
    <mergeCell ref="A5:B5"/>
    <mergeCell ref="A6:B7"/>
    <mergeCell ref="C6:F6"/>
    <mergeCell ref="G6:G7"/>
    <mergeCell ref="A23:G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31B21-98A4-4ACD-9333-C1BE9F2E8C4D}">
  <dimension ref="A2:C21"/>
  <sheetViews>
    <sheetView workbookViewId="0">
      <selection activeCell="B17" sqref="A17:B17"/>
    </sheetView>
  </sheetViews>
  <sheetFormatPr defaultRowHeight="14.5" x14ac:dyDescent="0.35"/>
  <cols>
    <col min="1" max="1" width="5.54296875" customWidth="1"/>
    <col min="2" max="2" width="69" customWidth="1"/>
    <col min="3" max="3" width="21.453125" customWidth="1"/>
  </cols>
  <sheetData>
    <row r="2" spans="1:3" ht="18.5" x14ac:dyDescent="0.45">
      <c r="A2" s="309" t="s">
        <v>555</v>
      </c>
      <c r="B2" s="310"/>
      <c r="C2" s="310"/>
    </row>
    <row r="3" spans="1:3" ht="18.5" x14ac:dyDescent="0.35">
      <c r="A3" s="310"/>
      <c r="B3" s="310"/>
      <c r="C3" s="310"/>
    </row>
    <row r="5" spans="1:3" x14ac:dyDescent="0.35">
      <c r="A5" s="4"/>
      <c r="B5" s="4"/>
      <c r="C5" s="200" t="s">
        <v>226</v>
      </c>
    </row>
    <row r="6" spans="1:3" x14ac:dyDescent="0.35">
      <c r="A6" s="4"/>
      <c r="B6" s="82" t="s">
        <v>62</v>
      </c>
      <c r="C6" s="199" t="s">
        <v>556</v>
      </c>
    </row>
    <row r="7" spans="1:3" x14ac:dyDescent="0.35">
      <c r="A7" s="311">
        <v>1</v>
      </c>
      <c r="B7" s="312" t="s">
        <v>557</v>
      </c>
      <c r="C7" s="313">
        <f>105880088674.8/1000000</f>
        <v>105880.0886748</v>
      </c>
    </row>
    <row r="8" spans="1:3" ht="29" x14ac:dyDescent="0.35">
      <c r="A8" s="40">
        <v>2</v>
      </c>
      <c r="B8" s="312" t="s">
        <v>558</v>
      </c>
      <c r="C8" s="314"/>
    </row>
    <row r="9" spans="1:3" ht="29" x14ac:dyDescent="0.35">
      <c r="A9" s="40">
        <v>3</v>
      </c>
      <c r="B9" s="312" t="s">
        <v>559</v>
      </c>
      <c r="C9" s="315" t="s">
        <v>519</v>
      </c>
    </row>
    <row r="10" spans="1:3" ht="29" x14ac:dyDescent="0.35">
      <c r="A10" s="40">
        <v>4</v>
      </c>
      <c r="B10" s="188" t="s">
        <v>560</v>
      </c>
      <c r="C10" s="315" t="s">
        <v>519</v>
      </c>
    </row>
    <row r="11" spans="1:3" ht="43.5" x14ac:dyDescent="0.35">
      <c r="A11" s="40">
        <v>5</v>
      </c>
      <c r="B11" s="316" t="s">
        <v>561</v>
      </c>
      <c r="C11" s="315" t="s">
        <v>519</v>
      </c>
    </row>
    <row r="12" spans="1:3" ht="29" x14ac:dyDescent="0.35">
      <c r="A12" s="40">
        <v>6</v>
      </c>
      <c r="B12" s="312" t="s">
        <v>562</v>
      </c>
      <c r="C12" s="317" t="s">
        <v>519</v>
      </c>
    </row>
    <row r="13" spans="1:3" x14ac:dyDescent="0.35">
      <c r="A13" s="40">
        <v>7</v>
      </c>
      <c r="B13" s="312" t="s">
        <v>563</v>
      </c>
      <c r="C13" s="318" t="s">
        <v>519</v>
      </c>
    </row>
    <row r="14" spans="1:3" x14ac:dyDescent="0.35">
      <c r="A14" s="40">
        <v>8</v>
      </c>
      <c r="B14" s="312" t="s">
        <v>564</v>
      </c>
      <c r="C14" s="315">
        <f>545854144.83/1000000</f>
        <v>545.85414483</v>
      </c>
    </row>
    <row r="15" spans="1:3" x14ac:dyDescent="0.35">
      <c r="A15" s="40">
        <v>9</v>
      </c>
      <c r="B15" s="312" t="s">
        <v>565</v>
      </c>
      <c r="C15" s="315">
        <f>-3955647.61/1000000</f>
        <v>-3.9556476099999998</v>
      </c>
    </row>
    <row r="16" spans="1:3" ht="29" x14ac:dyDescent="0.35">
      <c r="A16" s="40">
        <v>10</v>
      </c>
      <c r="B16" s="312" t="s">
        <v>566</v>
      </c>
      <c r="C16" s="315">
        <f>19530758786.99/1000000</f>
        <v>19530.758786990002</v>
      </c>
    </row>
    <row r="17" spans="1:3" ht="29" x14ac:dyDescent="0.35">
      <c r="A17" s="40">
        <v>11</v>
      </c>
      <c r="B17" s="316" t="s">
        <v>567</v>
      </c>
      <c r="C17" s="319" t="s">
        <v>519</v>
      </c>
    </row>
    <row r="18" spans="1:3" ht="29" x14ac:dyDescent="0.35">
      <c r="A18" s="40" t="s">
        <v>568</v>
      </c>
      <c r="B18" s="316" t="s">
        <v>569</v>
      </c>
      <c r="C18" s="320" t="s">
        <v>519</v>
      </c>
    </row>
    <row r="19" spans="1:3" ht="29" x14ac:dyDescent="0.35">
      <c r="A19" s="40" t="s">
        <v>570</v>
      </c>
      <c r="B19" s="316" t="s">
        <v>571</v>
      </c>
      <c r="C19" s="320" t="s">
        <v>519</v>
      </c>
    </row>
    <row r="20" spans="1:3" x14ac:dyDescent="0.35">
      <c r="A20" s="40">
        <v>12</v>
      </c>
      <c r="B20" s="312" t="s">
        <v>572</v>
      </c>
      <c r="C20" s="315">
        <f>-1468464089.69/1000000</f>
        <v>-1468.46408969</v>
      </c>
    </row>
    <row r="21" spans="1:3" x14ac:dyDescent="0.35">
      <c r="A21" s="40">
        <v>13</v>
      </c>
      <c r="B21" s="321" t="s">
        <v>573</v>
      </c>
      <c r="C21" s="322">
        <f>SUM(C7:C20)</f>
        <v>124484.28186932001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75327-E684-419A-A57F-B8A45B2B7692}">
  <dimension ref="A2:F72"/>
  <sheetViews>
    <sheetView workbookViewId="0">
      <selection activeCell="B17" sqref="A17:B17"/>
    </sheetView>
  </sheetViews>
  <sheetFormatPr defaultRowHeight="14.5" x14ac:dyDescent="0.35"/>
  <cols>
    <col min="2" max="2" width="102.81640625" customWidth="1"/>
    <col min="3" max="3" width="18.26953125" customWidth="1"/>
    <col min="4" max="4" width="17.26953125" customWidth="1"/>
  </cols>
  <sheetData>
    <row r="2" spans="1:4" ht="18.5" x14ac:dyDescent="0.45">
      <c r="A2" s="309" t="s">
        <v>574</v>
      </c>
    </row>
    <row r="3" spans="1:4" x14ac:dyDescent="0.35">
      <c r="A3" s="323"/>
    </row>
    <row r="4" spans="1:4" x14ac:dyDescent="0.35">
      <c r="A4" s="324"/>
      <c r="B4" s="119"/>
      <c r="C4" s="591" t="s">
        <v>575</v>
      </c>
      <c r="D4" s="591"/>
    </row>
    <row r="5" spans="1:4" x14ac:dyDescent="0.35">
      <c r="A5" s="592" t="s">
        <v>62</v>
      </c>
      <c r="B5" s="593"/>
      <c r="C5" s="124" t="s">
        <v>226</v>
      </c>
      <c r="D5" s="124" t="s">
        <v>227</v>
      </c>
    </row>
    <row r="6" spans="1:4" x14ac:dyDescent="0.35">
      <c r="A6" s="594"/>
      <c r="B6" s="595"/>
      <c r="C6" s="124" t="s">
        <v>576</v>
      </c>
      <c r="D6" s="124">
        <v>2021</v>
      </c>
    </row>
    <row r="7" spans="1:4" x14ac:dyDescent="0.35">
      <c r="A7" s="588" t="s">
        <v>577</v>
      </c>
      <c r="B7" s="589"/>
      <c r="C7" s="589"/>
      <c r="D7" s="590"/>
    </row>
    <row r="8" spans="1:4" x14ac:dyDescent="0.35">
      <c r="A8" s="124">
        <v>1</v>
      </c>
      <c r="B8" s="316" t="s">
        <v>578</v>
      </c>
      <c r="C8" s="325">
        <f>105685511498.81/1000000</f>
        <v>105685.51149881</v>
      </c>
      <c r="D8" s="326">
        <v>107306.2</v>
      </c>
    </row>
    <row r="9" spans="1:4" ht="29" x14ac:dyDescent="0.35">
      <c r="A9" s="327">
        <v>2</v>
      </c>
      <c r="B9" s="316" t="s">
        <v>579</v>
      </c>
      <c r="C9" s="328" t="s">
        <v>519</v>
      </c>
      <c r="D9" s="328" t="s">
        <v>519</v>
      </c>
    </row>
    <row r="10" spans="1:4" x14ac:dyDescent="0.35">
      <c r="A10" s="327">
        <v>3</v>
      </c>
      <c r="B10" s="316" t="s">
        <v>580</v>
      </c>
      <c r="C10" s="328" t="s">
        <v>519</v>
      </c>
      <c r="D10" s="328" t="s">
        <v>519</v>
      </c>
    </row>
    <row r="11" spans="1:4" x14ac:dyDescent="0.35">
      <c r="A11" s="327">
        <v>4</v>
      </c>
      <c r="B11" s="316" t="s">
        <v>581</v>
      </c>
      <c r="C11" s="328" t="s">
        <v>519</v>
      </c>
      <c r="D11" s="328" t="s">
        <v>519</v>
      </c>
    </row>
    <row r="12" spans="1:4" x14ac:dyDescent="0.35">
      <c r="A12" s="327">
        <v>5</v>
      </c>
      <c r="B12" s="329" t="s">
        <v>582</v>
      </c>
      <c r="C12" s="330" t="s">
        <v>519</v>
      </c>
      <c r="D12" s="328" t="s">
        <v>519</v>
      </c>
    </row>
    <row r="13" spans="1:4" ht="14.5" customHeight="1" x14ac:dyDescent="0.35">
      <c r="A13" s="124">
        <v>6</v>
      </c>
      <c r="B13" s="316" t="s">
        <v>583</v>
      </c>
      <c r="C13" s="325">
        <f>-1378053418.26/1000000</f>
        <v>-1378.0534182599999</v>
      </c>
      <c r="D13" s="326">
        <v>-797.5</v>
      </c>
    </row>
    <row r="14" spans="1:4" x14ac:dyDescent="0.35">
      <c r="A14" s="331">
        <v>7</v>
      </c>
      <c r="B14" s="332" t="s">
        <v>584</v>
      </c>
      <c r="C14" s="333">
        <f>+SUM(C8:C13)</f>
        <v>104307.45808055</v>
      </c>
      <c r="D14" s="333">
        <f>+SUM(D8:D13)</f>
        <v>106508.7</v>
      </c>
    </row>
    <row r="15" spans="1:4" x14ac:dyDescent="0.35">
      <c r="A15" s="588" t="s">
        <v>585</v>
      </c>
      <c r="B15" s="589"/>
      <c r="C15" s="589"/>
      <c r="D15" s="590"/>
    </row>
    <row r="16" spans="1:4" ht="29" x14ac:dyDescent="0.35">
      <c r="A16" s="5">
        <v>8</v>
      </c>
      <c r="B16" s="334" t="s">
        <v>586</v>
      </c>
      <c r="C16" s="320">
        <f>135447471.01/1000000</f>
        <v>135.44747100999999</v>
      </c>
      <c r="D16" s="326">
        <v>159.30000000000001</v>
      </c>
    </row>
    <row r="17" spans="1:6" x14ac:dyDescent="0.35">
      <c r="A17" s="5" t="s">
        <v>587</v>
      </c>
      <c r="B17" s="335" t="s">
        <v>588</v>
      </c>
      <c r="C17" s="336" t="s">
        <v>519</v>
      </c>
      <c r="D17" s="325" t="s">
        <v>519</v>
      </c>
    </row>
    <row r="18" spans="1:6" ht="29" x14ac:dyDescent="0.35">
      <c r="A18" s="5">
        <v>9</v>
      </c>
      <c r="B18" s="316" t="s">
        <v>589</v>
      </c>
      <c r="C18" s="320">
        <f>504237930.54/1000000</f>
        <v>504.23793054000004</v>
      </c>
      <c r="D18" s="326">
        <v>398.4</v>
      </c>
    </row>
    <row r="19" spans="1:6" x14ac:dyDescent="0.35">
      <c r="A19" s="5" t="s">
        <v>590</v>
      </c>
      <c r="B19" s="337" t="s">
        <v>591</v>
      </c>
      <c r="C19" s="336" t="s">
        <v>519</v>
      </c>
      <c r="D19" s="328" t="s">
        <v>519</v>
      </c>
    </row>
    <row r="20" spans="1:6" x14ac:dyDescent="0.35">
      <c r="A20" s="5" t="s">
        <v>592</v>
      </c>
      <c r="B20" s="337" t="s">
        <v>593</v>
      </c>
      <c r="C20" s="336" t="s">
        <v>519</v>
      </c>
      <c r="D20" s="328" t="s">
        <v>519</v>
      </c>
    </row>
    <row r="21" spans="1:6" x14ac:dyDescent="0.35">
      <c r="A21" s="338">
        <v>10</v>
      </c>
      <c r="B21" s="339" t="s">
        <v>594</v>
      </c>
      <c r="C21" s="328" t="s">
        <v>519</v>
      </c>
      <c r="D21" s="328" t="s">
        <v>519</v>
      </c>
    </row>
    <row r="22" spans="1:6" x14ac:dyDescent="0.35">
      <c r="A22" s="338" t="s">
        <v>595</v>
      </c>
      <c r="B22" s="340" t="s">
        <v>596</v>
      </c>
      <c r="C22" s="328" t="s">
        <v>519</v>
      </c>
      <c r="D22" s="328" t="s">
        <v>519</v>
      </c>
    </row>
    <row r="23" spans="1:6" x14ac:dyDescent="0.35">
      <c r="A23" s="338" t="s">
        <v>597</v>
      </c>
      <c r="B23" s="341" t="s">
        <v>598</v>
      </c>
      <c r="C23" s="328" t="s">
        <v>519</v>
      </c>
      <c r="D23" s="328" t="s">
        <v>519</v>
      </c>
    </row>
    <row r="24" spans="1:6" x14ac:dyDescent="0.35">
      <c r="A24" s="5">
        <v>11</v>
      </c>
      <c r="B24" s="316" t="s">
        <v>599</v>
      </c>
      <c r="C24" s="328" t="s">
        <v>519</v>
      </c>
      <c r="D24" s="328" t="s">
        <v>519</v>
      </c>
    </row>
    <row r="25" spans="1:6" x14ac:dyDescent="0.35">
      <c r="A25" s="5">
        <v>12</v>
      </c>
      <c r="B25" s="316" t="s">
        <v>600</v>
      </c>
      <c r="C25" s="336" t="s">
        <v>519</v>
      </c>
      <c r="D25" s="328" t="s">
        <v>519</v>
      </c>
    </row>
    <row r="26" spans="1:6" x14ac:dyDescent="0.35">
      <c r="A26" s="342">
        <v>13</v>
      </c>
      <c r="B26" s="343" t="s">
        <v>601</v>
      </c>
      <c r="C26" s="333">
        <f>+SUM(C16:C25)</f>
        <v>639.68540155000005</v>
      </c>
      <c r="D26" s="333">
        <f>+SUM(D16:D25)</f>
        <v>557.70000000000005</v>
      </c>
    </row>
    <row r="27" spans="1:6" x14ac:dyDescent="0.35">
      <c r="A27" s="596" t="s">
        <v>602</v>
      </c>
      <c r="B27" s="597"/>
      <c r="C27" s="597"/>
      <c r="D27" s="598"/>
      <c r="F27" s="56"/>
    </row>
    <row r="28" spans="1:6" x14ac:dyDescent="0.35">
      <c r="A28" s="124">
        <v>14</v>
      </c>
      <c r="B28" s="316" t="s">
        <v>603</v>
      </c>
      <c r="C28" s="320">
        <f>10335247.84/1000000</f>
        <v>10.335247839999999</v>
      </c>
      <c r="D28" s="326">
        <v>9.3000000000000007</v>
      </c>
    </row>
    <row r="29" spans="1:6" x14ac:dyDescent="0.35">
      <c r="A29" s="124">
        <v>15</v>
      </c>
      <c r="B29" s="316" t="s">
        <v>604</v>
      </c>
      <c r="C29" s="320">
        <f>-3955647.61/1000000</f>
        <v>-3.9556476099999998</v>
      </c>
      <c r="D29" s="326">
        <v>51.6</v>
      </c>
    </row>
    <row r="30" spans="1:6" x14ac:dyDescent="0.35">
      <c r="A30" s="124">
        <v>16</v>
      </c>
      <c r="B30" s="316" t="s">
        <v>605</v>
      </c>
      <c r="C30" s="328" t="s">
        <v>519</v>
      </c>
      <c r="D30" s="328" t="s">
        <v>519</v>
      </c>
    </row>
    <row r="31" spans="1:6" x14ac:dyDescent="0.35">
      <c r="A31" s="5" t="s">
        <v>606</v>
      </c>
      <c r="B31" s="316" t="s">
        <v>607</v>
      </c>
      <c r="C31" s="328" t="s">
        <v>519</v>
      </c>
      <c r="D31" s="328" t="s">
        <v>519</v>
      </c>
    </row>
    <row r="32" spans="1:6" x14ac:dyDescent="0.35">
      <c r="A32" s="5">
        <v>17</v>
      </c>
      <c r="B32" s="316" t="s">
        <v>608</v>
      </c>
      <c r="C32" s="328" t="s">
        <v>519</v>
      </c>
      <c r="D32" s="328" t="s">
        <v>519</v>
      </c>
    </row>
    <row r="33" spans="1:4" x14ac:dyDescent="0.35">
      <c r="A33" s="5" t="s">
        <v>609</v>
      </c>
      <c r="B33" s="316" t="s">
        <v>610</v>
      </c>
      <c r="C33" s="328" t="s">
        <v>519</v>
      </c>
      <c r="D33" s="328" t="s">
        <v>519</v>
      </c>
    </row>
    <row r="34" spans="1:4" x14ac:dyDescent="0.35">
      <c r="A34" s="342">
        <v>18</v>
      </c>
      <c r="B34" s="343" t="s">
        <v>611</v>
      </c>
      <c r="C34" s="333">
        <f>SUM(C28:C33)</f>
        <v>6.3796002299999994</v>
      </c>
      <c r="D34" s="333">
        <f>SUM(D28:D33)</f>
        <v>60.900000000000006</v>
      </c>
    </row>
    <row r="35" spans="1:4" x14ac:dyDescent="0.35">
      <c r="A35" s="588" t="s">
        <v>612</v>
      </c>
      <c r="B35" s="589"/>
      <c r="C35" s="589"/>
      <c r="D35" s="590"/>
    </row>
    <row r="36" spans="1:4" x14ac:dyDescent="0.35">
      <c r="A36" s="124">
        <v>19</v>
      </c>
      <c r="B36" s="316" t="s">
        <v>613</v>
      </c>
      <c r="C36" s="320">
        <f>43433295321.16/1000000</f>
        <v>43433.295321160003</v>
      </c>
      <c r="D36" s="326">
        <v>42383.5</v>
      </c>
    </row>
    <row r="37" spans="1:4" x14ac:dyDescent="0.35">
      <c r="A37" s="124">
        <v>20</v>
      </c>
      <c r="B37" s="316" t="s">
        <v>614</v>
      </c>
      <c r="C37" s="320">
        <f>-23902536534.17/1000000</f>
        <v>-23902.536534169998</v>
      </c>
      <c r="D37" s="326">
        <v>-22384.400000000001</v>
      </c>
    </row>
    <row r="38" spans="1:4" ht="29" x14ac:dyDescent="0.35">
      <c r="A38" s="124">
        <v>21</v>
      </c>
      <c r="B38" s="188" t="s">
        <v>615</v>
      </c>
      <c r="C38" s="328" t="s">
        <v>519</v>
      </c>
      <c r="D38" s="328" t="s">
        <v>519</v>
      </c>
    </row>
    <row r="39" spans="1:4" x14ac:dyDescent="0.35">
      <c r="A39" s="342">
        <v>22</v>
      </c>
      <c r="B39" s="344" t="s">
        <v>616</v>
      </c>
      <c r="C39" s="345">
        <f>19530758786.99/1000000</f>
        <v>19530.758786990002</v>
      </c>
      <c r="D39" s="333">
        <f>+SUM(D36:D38)</f>
        <v>19999.099999999999</v>
      </c>
    </row>
    <row r="40" spans="1:4" x14ac:dyDescent="0.35">
      <c r="A40" s="582" t="s">
        <v>617</v>
      </c>
      <c r="B40" s="583"/>
      <c r="C40" s="583"/>
      <c r="D40" s="584"/>
    </row>
    <row r="41" spans="1:4" ht="18" customHeight="1" x14ac:dyDescent="0.35">
      <c r="A41" s="5" t="s">
        <v>618</v>
      </c>
      <c r="B41" s="316" t="s">
        <v>619</v>
      </c>
      <c r="C41" s="328" t="s">
        <v>519</v>
      </c>
      <c r="D41" s="328" t="s">
        <v>519</v>
      </c>
    </row>
    <row r="42" spans="1:4" ht="17.5" customHeight="1" x14ac:dyDescent="0.35">
      <c r="A42" s="5" t="s">
        <v>620</v>
      </c>
      <c r="B42" s="316" t="s">
        <v>621</v>
      </c>
      <c r="C42" s="328" t="s">
        <v>519</v>
      </c>
      <c r="D42" s="328" t="s">
        <v>519</v>
      </c>
    </row>
    <row r="43" spans="1:4" x14ac:dyDescent="0.35">
      <c r="A43" s="346" t="s">
        <v>622</v>
      </c>
      <c r="B43" s="335" t="s">
        <v>623</v>
      </c>
      <c r="C43" s="328" t="s">
        <v>519</v>
      </c>
      <c r="D43" s="328" t="s">
        <v>519</v>
      </c>
    </row>
    <row r="44" spans="1:4" x14ac:dyDescent="0.35">
      <c r="A44" s="346" t="s">
        <v>624</v>
      </c>
      <c r="B44" s="335" t="s">
        <v>625</v>
      </c>
      <c r="C44" s="328" t="s">
        <v>519</v>
      </c>
      <c r="D44" s="328" t="s">
        <v>519</v>
      </c>
    </row>
    <row r="45" spans="1:4" ht="18" customHeight="1" x14ac:dyDescent="0.35">
      <c r="A45" s="346" t="s">
        <v>626</v>
      </c>
      <c r="B45" s="347" t="s">
        <v>627</v>
      </c>
      <c r="C45" s="328" t="s">
        <v>519</v>
      </c>
      <c r="D45" s="328" t="s">
        <v>519</v>
      </c>
    </row>
    <row r="46" spans="1:4" x14ac:dyDescent="0.35">
      <c r="A46" s="346" t="s">
        <v>628</v>
      </c>
      <c r="B46" s="335" t="s">
        <v>629</v>
      </c>
      <c r="C46" s="328" t="s">
        <v>519</v>
      </c>
      <c r="D46" s="328" t="s">
        <v>519</v>
      </c>
    </row>
    <row r="47" spans="1:4" x14ac:dyDescent="0.35">
      <c r="A47" s="346" t="s">
        <v>630</v>
      </c>
      <c r="B47" s="335" t="s">
        <v>631</v>
      </c>
      <c r="C47" s="328" t="s">
        <v>519</v>
      </c>
      <c r="D47" s="328" t="s">
        <v>519</v>
      </c>
    </row>
    <row r="48" spans="1:4" ht="29" x14ac:dyDescent="0.35">
      <c r="A48" s="346" t="s">
        <v>632</v>
      </c>
      <c r="B48" s="335" t="s">
        <v>633</v>
      </c>
      <c r="C48" s="328" t="s">
        <v>519</v>
      </c>
      <c r="D48" s="328" t="s">
        <v>519</v>
      </c>
    </row>
    <row r="49" spans="1:4" ht="17.5" customHeight="1" x14ac:dyDescent="0.35">
      <c r="A49" s="346" t="s">
        <v>634</v>
      </c>
      <c r="B49" s="347" t="s">
        <v>635</v>
      </c>
      <c r="C49" s="328" t="s">
        <v>519</v>
      </c>
      <c r="D49" s="328" t="s">
        <v>519</v>
      </c>
    </row>
    <row r="50" spans="1:4" x14ac:dyDescent="0.35">
      <c r="A50" s="346" t="s">
        <v>636</v>
      </c>
      <c r="B50" s="335" t="s">
        <v>637</v>
      </c>
      <c r="C50" s="328" t="s">
        <v>519</v>
      </c>
      <c r="D50" s="328" t="s">
        <v>519</v>
      </c>
    </row>
    <row r="51" spans="1:4" x14ac:dyDescent="0.35">
      <c r="A51" s="348" t="s">
        <v>638</v>
      </c>
      <c r="B51" s="349" t="s">
        <v>639</v>
      </c>
      <c r="C51" s="328" t="s">
        <v>519</v>
      </c>
      <c r="D51" s="328" t="s">
        <v>519</v>
      </c>
    </row>
    <row r="52" spans="1:4" x14ac:dyDescent="0.35">
      <c r="A52" s="585" t="s">
        <v>640</v>
      </c>
      <c r="B52" s="586"/>
      <c r="C52" s="586"/>
      <c r="D52" s="587"/>
    </row>
    <row r="53" spans="1:4" x14ac:dyDescent="0.35">
      <c r="A53" s="124">
        <v>23</v>
      </c>
      <c r="B53" s="350" t="s">
        <v>197</v>
      </c>
      <c r="C53" s="322">
        <f>9846510974.35/1000000</f>
        <v>9846.5109743499997</v>
      </c>
      <c r="D53" s="351">
        <v>9925.5</v>
      </c>
    </row>
    <row r="54" spans="1:4" x14ac:dyDescent="0.35">
      <c r="A54" s="352">
        <v>24</v>
      </c>
      <c r="B54" s="353" t="s">
        <v>573</v>
      </c>
      <c r="C54" s="354">
        <f>+C14+C26+C34+C39</f>
        <v>124484.28186932</v>
      </c>
      <c r="D54" s="354">
        <f>+D14+D26+D34+D39</f>
        <v>127126.39999999999</v>
      </c>
    </row>
    <row r="55" spans="1:4" x14ac:dyDescent="0.35">
      <c r="A55" s="585" t="s">
        <v>641</v>
      </c>
      <c r="B55" s="586"/>
      <c r="C55" s="586"/>
      <c r="D55" s="587"/>
    </row>
    <row r="56" spans="1:4" x14ac:dyDescent="0.35">
      <c r="A56" s="124">
        <v>25</v>
      </c>
      <c r="B56" s="4" t="s">
        <v>642</v>
      </c>
      <c r="C56" s="355">
        <v>7.9098000000000002E-2</v>
      </c>
      <c r="D56" s="356">
        <v>7.8E-2</v>
      </c>
    </row>
    <row r="57" spans="1:4" x14ac:dyDescent="0.35">
      <c r="A57" s="5" t="s">
        <v>643</v>
      </c>
      <c r="B57" s="316" t="s">
        <v>644</v>
      </c>
      <c r="C57" s="355">
        <v>7.9098000000000002E-2</v>
      </c>
      <c r="D57" s="356">
        <v>7.8E-2</v>
      </c>
    </row>
    <row r="58" spans="1:4" x14ac:dyDescent="0.35">
      <c r="A58" s="5" t="s">
        <v>645</v>
      </c>
      <c r="B58" s="188" t="s">
        <v>646</v>
      </c>
      <c r="C58" s="355">
        <v>7.9100000000000004E-2</v>
      </c>
      <c r="D58" s="356">
        <v>7.8E-2</v>
      </c>
    </row>
    <row r="59" spans="1:4" x14ac:dyDescent="0.35">
      <c r="A59" s="5">
        <v>26</v>
      </c>
      <c r="B59" s="316" t="s">
        <v>647</v>
      </c>
      <c r="C59" s="357">
        <v>0.03</v>
      </c>
      <c r="D59" s="356">
        <v>0.03</v>
      </c>
    </row>
    <row r="60" spans="1:4" x14ac:dyDescent="0.35">
      <c r="A60" s="5" t="s">
        <v>648</v>
      </c>
      <c r="B60" s="316" t="s">
        <v>649</v>
      </c>
      <c r="C60" s="336" t="s">
        <v>519</v>
      </c>
      <c r="D60" s="336" t="s">
        <v>519</v>
      </c>
    </row>
    <row r="61" spans="1:4" x14ac:dyDescent="0.35">
      <c r="A61" s="5" t="s">
        <v>650</v>
      </c>
      <c r="B61" s="316" t="s">
        <v>651</v>
      </c>
      <c r="C61" s="336" t="s">
        <v>519</v>
      </c>
      <c r="D61" s="336" t="s">
        <v>519</v>
      </c>
    </row>
    <row r="62" spans="1:4" x14ac:dyDescent="0.35">
      <c r="A62" s="5">
        <v>27</v>
      </c>
      <c r="B62" s="188" t="s">
        <v>652</v>
      </c>
      <c r="C62" s="336" t="s">
        <v>519</v>
      </c>
      <c r="D62" s="336" t="s">
        <v>519</v>
      </c>
    </row>
    <row r="63" spans="1:4" x14ac:dyDescent="0.35">
      <c r="A63" s="123" t="s">
        <v>653</v>
      </c>
      <c r="B63" s="188" t="s">
        <v>654</v>
      </c>
      <c r="C63" s="328" t="s">
        <v>519</v>
      </c>
      <c r="D63" s="336" t="s">
        <v>519</v>
      </c>
    </row>
    <row r="64" spans="1:4" x14ac:dyDescent="0.35">
      <c r="A64" s="582" t="s">
        <v>655</v>
      </c>
      <c r="B64" s="583"/>
      <c r="C64" s="583"/>
      <c r="D64" s="584"/>
    </row>
    <row r="65" spans="1:4" x14ac:dyDescent="0.35">
      <c r="A65" s="123" t="s">
        <v>656</v>
      </c>
      <c r="B65" s="188" t="s">
        <v>657</v>
      </c>
      <c r="C65" s="328" t="s">
        <v>519</v>
      </c>
      <c r="D65" s="328" t="s">
        <v>519</v>
      </c>
    </row>
    <row r="66" spans="1:4" x14ac:dyDescent="0.35">
      <c r="A66" s="585" t="s">
        <v>658</v>
      </c>
      <c r="B66" s="586"/>
      <c r="C66" s="586"/>
      <c r="D66" s="587"/>
    </row>
    <row r="67" spans="1:4" ht="29" x14ac:dyDescent="0.35">
      <c r="A67" s="5">
        <v>28</v>
      </c>
      <c r="B67" s="316" t="s">
        <v>659</v>
      </c>
      <c r="C67" s="358" t="s">
        <v>519</v>
      </c>
      <c r="D67" s="328" t="s">
        <v>519</v>
      </c>
    </row>
    <row r="68" spans="1:4" ht="29" x14ac:dyDescent="0.35">
      <c r="A68" s="5">
        <v>29</v>
      </c>
      <c r="B68" s="316" t="s">
        <v>660</v>
      </c>
      <c r="C68" s="320">
        <f>6379600.23/1000000</f>
        <v>6.3796002300000003</v>
      </c>
      <c r="D68" s="359">
        <v>61</v>
      </c>
    </row>
    <row r="69" spans="1:4" ht="43.5" x14ac:dyDescent="0.35">
      <c r="A69" s="123">
        <v>30</v>
      </c>
      <c r="B69" s="188" t="s">
        <v>661</v>
      </c>
      <c r="C69" s="320">
        <f>124477902269.1/1000000</f>
        <v>124477.9022691</v>
      </c>
      <c r="D69" s="319">
        <v>127065.5</v>
      </c>
    </row>
    <row r="70" spans="1:4" ht="43.5" x14ac:dyDescent="0.35">
      <c r="A70" s="123" t="s">
        <v>662</v>
      </c>
      <c r="B70" s="188" t="s">
        <v>663</v>
      </c>
      <c r="C70" s="320">
        <f>124477902269.1/1000000</f>
        <v>124477.9022691</v>
      </c>
      <c r="D70" s="319">
        <v>127065.5</v>
      </c>
    </row>
    <row r="71" spans="1:4" ht="43.5" x14ac:dyDescent="0.35">
      <c r="A71" s="5">
        <v>31</v>
      </c>
      <c r="B71" s="316" t="s">
        <v>664</v>
      </c>
      <c r="C71" s="355">
        <v>7.9102000000000006E-2</v>
      </c>
      <c r="D71" s="360">
        <f>+D56</f>
        <v>7.8E-2</v>
      </c>
    </row>
    <row r="72" spans="1:4" ht="43.5" x14ac:dyDescent="0.35">
      <c r="A72" s="5" t="s">
        <v>665</v>
      </c>
      <c r="B72" s="316" t="s">
        <v>666</v>
      </c>
      <c r="C72" s="355">
        <v>7.9102000000000006E-2</v>
      </c>
      <c r="D72" s="360">
        <f>+D56</f>
        <v>7.8E-2</v>
      </c>
    </row>
  </sheetData>
  <mergeCells count="11">
    <mergeCell ref="A35:D35"/>
    <mergeCell ref="C4:D4"/>
    <mergeCell ref="A5:B6"/>
    <mergeCell ref="A7:D7"/>
    <mergeCell ref="A15:D15"/>
    <mergeCell ref="A27:D27"/>
    <mergeCell ref="A40:D40"/>
    <mergeCell ref="A52:D52"/>
    <mergeCell ref="A55:D55"/>
    <mergeCell ref="A64:D64"/>
    <mergeCell ref="A66:D6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E339D-0B5C-44EC-AA55-127774BD3ABA}">
  <dimension ref="A2:F122"/>
  <sheetViews>
    <sheetView workbookViewId="0">
      <selection activeCell="A2" sqref="A2"/>
    </sheetView>
  </sheetViews>
  <sheetFormatPr defaultRowHeight="14.5" x14ac:dyDescent="0.35"/>
  <cols>
    <col min="1" max="1" width="9" customWidth="1"/>
    <col min="2" max="2" width="66.453125" customWidth="1"/>
    <col min="3" max="3" width="23.81640625" style="2" customWidth="1"/>
    <col min="4" max="4" width="51.7265625" customWidth="1"/>
  </cols>
  <sheetData>
    <row r="2" spans="1:4" ht="18.5" x14ac:dyDescent="0.45">
      <c r="A2" s="1" t="s">
        <v>87</v>
      </c>
      <c r="B2" s="57"/>
    </row>
    <row r="3" spans="1:4" ht="18.5" x14ac:dyDescent="0.45">
      <c r="A3" s="3"/>
    </row>
    <row r="4" spans="1:4" x14ac:dyDescent="0.35">
      <c r="A4" s="4"/>
      <c r="B4" s="4"/>
      <c r="C4" s="5" t="s">
        <v>88</v>
      </c>
      <c r="D4" s="5" t="s">
        <v>89</v>
      </c>
    </row>
    <row r="5" spans="1:4" ht="29" x14ac:dyDescent="0.35">
      <c r="A5" s="4" t="s">
        <v>62</v>
      </c>
      <c r="B5" s="4"/>
      <c r="C5" s="5" t="s">
        <v>90</v>
      </c>
      <c r="D5" s="5" t="s">
        <v>91</v>
      </c>
    </row>
    <row r="6" spans="1:4" x14ac:dyDescent="0.35">
      <c r="A6" s="504" t="s">
        <v>92</v>
      </c>
      <c r="B6" s="505"/>
      <c r="C6" s="505"/>
      <c r="D6" s="506"/>
    </row>
    <row r="7" spans="1:4" x14ac:dyDescent="0.35">
      <c r="A7" s="6">
        <v>1</v>
      </c>
      <c r="B7" s="7" t="s">
        <v>93</v>
      </c>
      <c r="C7" s="8">
        <f>2100000000/1000000</f>
        <v>2100</v>
      </c>
      <c r="D7" s="9" t="s">
        <v>94</v>
      </c>
    </row>
    <row r="8" spans="1:4" x14ac:dyDescent="0.35">
      <c r="A8" s="6"/>
      <c r="B8" s="7" t="s">
        <v>95</v>
      </c>
      <c r="C8" s="10" t="s">
        <v>96</v>
      </c>
      <c r="D8" s="11" t="s">
        <v>96</v>
      </c>
    </row>
    <row r="9" spans="1:4" x14ac:dyDescent="0.35">
      <c r="A9" s="6"/>
      <c r="B9" s="7" t="s">
        <v>97</v>
      </c>
      <c r="C9" s="10" t="s">
        <v>96</v>
      </c>
      <c r="D9" s="11" t="s">
        <v>96</v>
      </c>
    </row>
    <row r="10" spans="1:4" x14ac:dyDescent="0.35">
      <c r="A10" s="6"/>
      <c r="B10" s="7" t="s">
        <v>98</v>
      </c>
      <c r="C10" s="10" t="s">
        <v>96</v>
      </c>
      <c r="D10" s="11" t="s">
        <v>96</v>
      </c>
    </row>
    <row r="11" spans="1:4" x14ac:dyDescent="0.35">
      <c r="A11" s="6">
        <v>2</v>
      </c>
      <c r="B11" s="7" t="s">
        <v>99</v>
      </c>
      <c r="C11" s="8">
        <f>6111611112/1000000</f>
        <v>6111.6111119999996</v>
      </c>
      <c r="D11" s="11" t="s">
        <v>100</v>
      </c>
    </row>
    <row r="12" spans="1:4" x14ac:dyDescent="0.35">
      <c r="A12" s="6">
        <v>3</v>
      </c>
      <c r="B12" s="7" t="s">
        <v>101</v>
      </c>
      <c r="C12" s="8">
        <f>980455617/1000000</f>
        <v>980.45561699999996</v>
      </c>
      <c r="D12" s="11" t="s">
        <v>102</v>
      </c>
    </row>
    <row r="13" spans="1:4" x14ac:dyDescent="0.35">
      <c r="A13" s="6" t="s">
        <v>103</v>
      </c>
      <c r="B13" s="7" t="s">
        <v>104</v>
      </c>
      <c r="C13" s="12">
        <v>0</v>
      </c>
      <c r="D13" s="11" t="s">
        <v>96</v>
      </c>
    </row>
    <row r="14" spans="1:4" ht="24" x14ac:dyDescent="0.35">
      <c r="A14" s="6">
        <v>4</v>
      </c>
      <c r="B14" s="7" t="s">
        <v>105</v>
      </c>
      <c r="C14" s="8">
        <f>-515863146/1000000</f>
        <v>-515.86314600000003</v>
      </c>
      <c r="D14" s="11" t="s">
        <v>96</v>
      </c>
    </row>
    <row r="15" spans="1:4" x14ac:dyDescent="0.35">
      <c r="A15" s="6">
        <v>5</v>
      </c>
      <c r="B15" s="7" t="s">
        <v>106</v>
      </c>
      <c r="C15" s="8">
        <f>1427490253/1000000</f>
        <v>1427.4902529999999</v>
      </c>
      <c r="D15" s="11" t="s">
        <v>107</v>
      </c>
    </row>
    <row r="16" spans="1:4" x14ac:dyDescent="0.35">
      <c r="A16" s="6" t="s">
        <v>108</v>
      </c>
      <c r="B16" s="7" t="s">
        <v>109</v>
      </c>
      <c r="C16" s="8">
        <f>45291744/1000000</f>
        <v>45.291744000000001</v>
      </c>
      <c r="D16" s="11" t="s">
        <v>100</v>
      </c>
    </row>
    <row r="17" spans="1:5" x14ac:dyDescent="0.35">
      <c r="A17" s="13">
        <v>6</v>
      </c>
      <c r="B17" s="14" t="s">
        <v>110</v>
      </c>
      <c r="C17" s="15">
        <f>10148985580/1000000</f>
        <v>10148.98558</v>
      </c>
      <c r="D17" s="11" t="s">
        <v>96</v>
      </c>
    </row>
    <row r="18" spans="1:5" x14ac:dyDescent="0.35">
      <c r="A18" s="498" t="s">
        <v>111</v>
      </c>
      <c r="B18" s="499"/>
      <c r="C18" s="499"/>
      <c r="D18" s="500"/>
    </row>
    <row r="19" spans="1:5" x14ac:dyDescent="0.35">
      <c r="A19" s="6">
        <v>7</v>
      </c>
      <c r="B19" s="16" t="s">
        <v>112</v>
      </c>
      <c r="C19" s="8">
        <f>-32485315/1000000</f>
        <v>-32.485315</v>
      </c>
      <c r="D19" s="9" t="s">
        <v>96</v>
      </c>
      <c r="E19" s="17"/>
    </row>
    <row r="20" spans="1:5" x14ac:dyDescent="0.35">
      <c r="A20" s="6">
        <v>8</v>
      </c>
      <c r="B20" s="16" t="s">
        <v>113</v>
      </c>
      <c r="C20" s="8">
        <f>-231610582/1000000</f>
        <v>-231.61058199999999</v>
      </c>
      <c r="D20" s="11" t="s">
        <v>114</v>
      </c>
      <c r="E20" s="17"/>
    </row>
    <row r="21" spans="1:5" x14ac:dyDescent="0.35">
      <c r="A21" s="6">
        <v>9</v>
      </c>
      <c r="B21" s="16" t="s">
        <v>115</v>
      </c>
      <c r="C21" s="10" t="s">
        <v>96</v>
      </c>
      <c r="D21" s="18" t="s">
        <v>96</v>
      </c>
      <c r="E21" s="17"/>
    </row>
    <row r="22" spans="1:5" ht="36" x14ac:dyDescent="0.35">
      <c r="A22" s="6">
        <v>10</v>
      </c>
      <c r="B22" s="16" t="s">
        <v>116</v>
      </c>
      <c r="C22" s="8">
        <f>-379999554/1000000</f>
        <v>-379.99955399999999</v>
      </c>
      <c r="D22" s="11" t="s">
        <v>117</v>
      </c>
      <c r="E22" s="17"/>
    </row>
    <row r="23" spans="1:5" ht="24" x14ac:dyDescent="0.35">
      <c r="A23" s="6">
        <v>11</v>
      </c>
      <c r="B23" s="16" t="s">
        <v>118</v>
      </c>
      <c r="C23" s="12">
        <v>0</v>
      </c>
      <c r="D23" s="11" t="s">
        <v>96</v>
      </c>
      <c r="E23" s="17"/>
    </row>
    <row r="24" spans="1:5" x14ac:dyDescent="0.35">
      <c r="A24" s="6">
        <v>12</v>
      </c>
      <c r="B24" s="16" t="s">
        <v>119</v>
      </c>
      <c r="C24" s="12">
        <v>0</v>
      </c>
      <c r="D24" s="11" t="s">
        <v>96</v>
      </c>
      <c r="E24" s="17"/>
    </row>
    <row r="25" spans="1:5" x14ac:dyDescent="0.35">
      <c r="A25" s="6">
        <v>13</v>
      </c>
      <c r="B25" s="16" t="s">
        <v>120</v>
      </c>
      <c r="C25" s="12">
        <v>0</v>
      </c>
      <c r="D25" s="11" t="s">
        <v>96</v>
      </c>
      <c r="E25" s="17"/>
    </row>
    <row r="26" spans="1:5" ht="24" x14ac:dyDescent="0.35">
      <c r="A26" s="6">
        <v>14</v>
      </c>
      <c r="B26" s="16" t="s">
        <v>121</v>
      </c>
      <c r="C26" s="12">
        <v>0</v>
      </c>
      <c r="D26" s="11" t="s">
        <v>96</v>
      </c>
      <c r="E26" s="17"/>
    </row>
    <row r="27" spans="1:5" x14ac:dyDescent="0.35">
      <c r="A27" s="6">
        <v>15</v>
      </c>
      <c r="B27" s="16" t="s">
        <v>122</v>
      </c>
      <c r="C27" s="12">
        <v>0</v>
      </c>
      <c r="D27" s="11" t="s">
        <v>96</v>
      </c>
      <c r="E27" s="17"/>
    </row>
    <row r="28" spans="1:5" ht="24" x14ac:dyDescent="0.35">
      <c r="A28" s="6">
        <v>16</v>
      </c>
      <c r="B28" s="16" t="s">
        <v>123</v>
      </c>
      <c r="C28" s="8">
        <f>-6447961/1000000</f>
        <v>-6.4479610000000003</v>
      </c>
      <c r="D28" s="11" t="s">
        <v>124</v>
      </c>
      <c r="E28" s="17"/>
    </row>
    <row r="29" spans="1:5" ht="36" x14ac:dyDescent="0.35">
      <c r="A29" s="6">
        <v>17</v>
      </c>
      <c r="B29" s="16" t="s">
        <v>125</v>
      </c>
      <c r="C29" s="12">
        <v>0</v>
      </c>
      <c r="D29" s="11" t="s">
        <v>96</v>
      </c>
      <c r="E29" s="17"/>
    </row>
    <row r="30" spans="1:5" ht="48" x14ac:dyDescent="0.35">
      <c r="A30" s="6">
        <v>18</v>
      </c>
      <c r="B30" s="16" t="s">
        <v>126</v>
      </c>
      <c r="C30" s="8">
        <f>-120564810/1000000</f>
        <v>-120.56480999999999</v>
      </c>
      <c r="D30" s="11" t="s">
        <v>96</v>
      </c>
      <c r="E30" s="17"/>
    </row>
    <row r="31" spans="1:5" ht="36" x14ac:dyDescent="0.35">
      <c r="A31" s="6">
        <v>19</v>
      </c>
      <c r="B31" s="16" t="s">
        <v>127</v>
      </c>
      <c r="C31" s="12">
        <v>0</v>
      </c>
      <c r="D31" s="11" t="s">
        <v>96</v>
      </c>
      <c r="E31" s="17"/>
    </row>
    <row r="32" spans="1:5" x14ac:dyDescent="0.35">
      <c r="A32" s="6">
        <v>20</v>
      </c>
      <c r="B32" s="16" t="s">
        <v>115</v>
      </c>
      <c r="C32" s="12" t="s">
        <v>96</v>
      </c>
      <c r="D32" s="18" t="s">
        <v>96</v>
      </c>
      <c r="E32" s="17"/>
    </row>
    <row r="33" spans="1:5" ht="24" x14ac:dyDescent="0.35">
      <c r="A33" s="6" t="s">
        <v>128</v>
      </c>
      <c r="B33" s="16" t="s">
        <v>129</v>
      </c>
      <c r="C33" s="12">
        <v>0</v>
      </c>
      <c r="D33" s="18" t="s">
        <v>96</v>
      </c>
      <c r="E33" s="17"/>
    </row>
    <row r="34" spans="1:5" x14ac:dyDescent="0.35">
      <c r="A34" s="6" t="s">
        <v>130</v>
      </c>
      <c r="B34" s="16" t="s">
        <v>131</v>
      </c>
      <c r="C34" s="12">
        <v>0</v>
      </c>
      <c r="D34" s="11" t="s">
        <v>96</v>
      </c>
      <c r="E34" s="17"/>
    </row>
    <row r="35" spans="1:5" x14ac:dyDescent="0.35">
      <c r="A35" s="6" t="s">
        <v>132</v>
      </c>
      <c r="B35" s="19" t="s">
        <v>133</v>
      </c>
      <c r="C35" s="12">
        <v>0</v>
      </c>
      <c r="D35" s="11" t="s">
        <v>96</v>
      </c>
      <c r="E35" s="17"/>
    </row>
    <row r="36" spans="1:5" x14ac:dyDescent="0.35">
      <c r="A36" s="6" t="s">
        <v>134</v>
      </c>
      <c r="B36" s="16" t="s">
        <v>135</v>
      </c>
      <c r="C36" s="12">
        <v>0</v>
      </c>
      <c r="D36" s="11" t="s">
        <v>96</v>
      </c>
      <c r="E36" s="17"/>
    </row>
    <row r="37" spans="1:5" ht="36" x14ac:dyDescent="0.35">
      <c r="A37" s="6">
        <v>21</v>
      </c>
      <c r="B37" s="16" t="s">
        <v>136</v>
      </c>
      <c r="C37" s="12">
        <v>0</v>
      </c>
      <c r="D37" s="11" t="s">
        <v>96</v>
      </c>
      <c r="E37" s="17"/>
    </row>
    <row r="38" spans="1:5" x14ac:dyDescent="0.35">
      <c r="A38" s="6">
        <v>22</v>
      </c>
      <c r="B38" s="16" t="s">
        <v>137</v>
      </c>
      <c r="C38" s="12">
        <v>0</v>
      </c>
      <c r="D38" s="11" t="s">
        <v>96</v>
      </c>
      <c r="E38" s="17"/>
    </row>
    <row r="39" spans="1:5" ht="36" x14ac:dyDescent="0.35">
      <c r="A39" s="6">
        <v>23</v>
      </c>
      <c r="B39" s="16" t="s">
        <v>138</v>
      </c>
      <c r="C39" s="12">
        <v>0</v>
      </c>
      <c r="D39" s="18" t="s">
        <v>96</v>
      </c>
      <c r="E39" s="17"/>
    </row>
    <row r="40" spans="1:5" x14ac:dyDescent="0.35">
      <c r="A40" s="6">
        <v>24</v>
      </c>
      <c r="B40" s="16" t="s">
        <v>115</v>
      </c>
      <c r="C40" s="12" t="s">
        <v>96</v>
      </c>
      <c r="D40" s="18" t="s">
        <v>96</v>
      </c>
      <c r="E40" s="17"/>
    </row>
    <row r="41" spans="1:5" x14ac:dyDescent="0.35">
      <c r="A41" s="6">
        <v>25</v>
      </c>
      <c r="B41" s="16" t="s">
        <v>139</v>
      </c>
      <c r="C41" s="12">
        <v>0</v>
      </c>
      <c r="D41" s="11" t="s">
        <v>96</v>
      </c>
      <c r="E41" s="17"/>
    </row>
    <row r="42" spans="1:5" x14ac:dyDescent="0.35">
      <c r="A42" s="6" t="s">
        <v>140</v>
      </c>
      <c r="B42" s="16" t="s">
        <v>141</v>
      </c>
      <c r="C42" s="12">
        <v>0</v>
      </c>
      <c r="D42" s="11" t="s">
        <v>96</v>
      </c>
      <c r="E42" s="17"/>
    </row>
    <row r="43" spans="1:5" ht="36" x14ac:dyDescent="0.35">
      <c r="A43" s="6" t="s">
        <v>142</v>
      </c>
      <c r="B43" s="16" t="s">
        <v>143</v>
      </c>
      <c r="C43" s="12">
        <v>0</v>
      </c>
      <c r="D43" s="20" t="s">
        <v>96</v>
      </c>
      <c r="E43" s="17"/>
    </row>
    <row r="44" spans="1:5" x14ac:dyDescent="0.35">
      <c r="A44" s="6">
        <v>26</v>
      </c>
      <c r="B44" s="16" t="s">
        <v>115</v>
      </c>
      <c r="C44" s="10" t="s">
        <v>96</v>
      </c>
      <c r="D44" s="18" t="s">
        <v>96</v>
      </c>
      <c r="E44" s="17"/>
    </row>
    <row r="45" spans="1:5" ht="24" x14ac:dyDescent="0.35">
      <c r="A45" s="6">
        <v>27</v>
      </c>
      <c r="B45" s="16" t="s">
        <v>144</v>
      </c>
      <c r="C45" s="12">
        <v>0</v>
      </c>
      <c r="D45" s="11" t="s">
        <v>96</v>
      </c>
      <c r="E45" s="17"/>
    </row>
    <row r="46" spans="1:5" x14ac:dyDescent="0.35">
      <c r="A46" s="6" t="s">
        <v>145</v>
      </c>
      <c r="B46" s="16" t="s">
        <v>146</v>
      </c>
      <c r="C46" s="8">
        <f>-233907587/1000000</f>
        <v>-233.90758700000001</v>
      </c>
      <c r="D46" s="11" t="s">
        <v>96</v>
      </c>
      <c r="E46" s="17"/>
    </row>
    <row r="47" spans="1:5" x14ac:dyDescent="0.35">
      <c r="A47" s="6">
        <v>28</v>
      </c>
      <c r="B47" s="21" t="s">
        <v>147</v>
      </c>
      <c r="C47" s="8">
        <f>-1005015809/1000000</f>
        <v>-1005.015809</v>
      </c>
      <c r="D47" s="11" t="s">
        <v>96</v>
      </c>
      <c r="E47" s="17"/>
    </row>
    <row r="48" spans="1:5" x14ac:dyDescent="0.35">
      <c r="A48" s="6">
        <v>29</v>
      </c>
      <c r="B48" s="21" t="s">
        <v>148</v>
      </c>
      <c r="C48" s="15">
        <f>9143969771/1000000</f>
        <v>9143.969771</v>
      </c>
      <c r="D48" s="11" t="s">
        <v>96</v>
      </c>
      <c r="E48" s="17"/>
    </row>
    <row r="49" spans="1:4" x14ac:dyDescent="0.35">
      <c r="A49" s="498" t="s">
        <v>149</v>
      </c>
      <c r="B49" s="499"/>
      <c r="C49" s="499"/>
      <c r="D49" s="500"/>
    </row>
    <row r="50" spans="1:4" x14ac:dyDescent="0.35">
      <c r="A50" s="6">
        <v>30</v>
      </c>
      <c r="B50" s="16" t="s">
        <v>93</v>
      </c>
      <c r="C50" s="8">
        <f>729700000/1000000</f>
        <v>729.7</v>
      </c>
      <c r="D50" s="9" t="s">
        <v>150</v>
      </c>
    </row>
    <row r="51" spans="1:4" x14ac:dyDescent="0.35">
      <c r="A51" s="6">
        <v>31</v>
      </c>
      <c r="B51" s="16" t="s">
        <v>151</v>
      </c>
      <c r="C51" s="8">
        <f>729700000/1000000</f>
        <v>729.7</v>
      </c>
      <c r="D51" s="22"/>
    </row>
    <row r="52" spans="1:4" x14ac:dyDescent="0.35">
      <c r="A52" s="6">
        <v>32</v>
      </c>
      <c r="B52" s="16" t="s">
        <v>152</v>
      </c>
      <c r="C52" s="12" t="s">
        <v>96</v>
      </c>
      <c r="D52" s="22"/>
    </row>
    <row r="53" spans="1:4" ht="24" x14ac:dyDescent="0.35">
      <c r="A53" s="6">
        <v>33</v>
      </c>
      <c r="B53" s="16" t="s">
        <v>153</v>
      </c>
      <c r="C53" s="12">
        <v>0</v>
      </c>
      <c r="D53" s="22"/>
    </row>
    <row r="54" spans="1:4" ht="24" x14ac:dyDescent="0.35">
      <c r="A54" s="6" t="s">
        <v>154</v>
      </c>
      <c r="B54" s="16" t="s">
        <v>155</v>
      </c>
      <c r="C54" s="12">
        <v>0</v>
      </c>
      <c r="D54" s="22"/>
    </row>
    <row r="55" spans="1:4" ht="24" x14ac:dyDescent="0.35">
      <c r="A55" s="6" t="s">
        <v>156</v>
      </c>
      <c r="B55" s="16" t="s">
        <v>157</v>
      </c>
      <c r="C55" s="12">
        <v>0</v>
      </c>
      <c r="D55" s="22"/>
    </row>
    <row r="56" spans="1:4" ht="36" x14ac:dyDescent="0.35">
      <c r="A56" s="6">
        <v>34</v>
      </c>
      <c r="B56" s="16" t="s">
        <v>158</v>
      </c>
      <c r="C56" s="8">
        <f>-27158797/1000000</f>
        <v>-27.158797</v>
      </c>
      <c r="D56" s="22"/>
    </row>
    <row r="57" spans="1:4" x14ac:dyDescent="0.35">
      <c r="A57" s="6">
        <v>35</v>
      </c>
      <c r="B57" s="16" t="s">
        <v>159</v>
      </c>
      <c r="C57" s="8">
        <f>-27158797/1000000</f>
        <v>-27.158797</v>
      </c>
      <c r="D57" s="22"/>
    </row>
    <row r="58" spans="1:4" x14ac:dyDescent="0.35">
      <c r="A58" s="13">
        <v>36</v>
      </c>
      <c r="B58" s="21" t="s">
        <v>160</v>
      </c>
      <c r="C58" s="15">
        <f>702541203/1000000</f>
        <v>702.541203</v>
      </c>
      <c r="D58" s="22"/>
    </row>
    <row r="59" spans="1:4" x14ac:dyDescent="0.35">
      <c r="A59" s="498" t="s">
        <v>161</v>
      </c>
      <c r="B59" s="499"/>
      <c r="C59" s="499"/>
      <c r="D59" s="500"/>
    </row>
    <row r="60" spans="1:4" ht="24" x14ac:dyDescent="0.35">
      <c r="A60" s="6">
        <v>37</v>
      </c>
      <c r="B60" s="16" t="s">
        <v>162</v>
      </c>
      <c r="C60" s="23">
        <v>0</v>
      </c>
      <c r="D60" s="22"/>
    </row>
    <row r="61" spans="1:4" ht="36" x14ac:dyDescent="0.35">
      <c r="A61" s="6">
        <v>38</v>
      </c>
      <c r="B61" s="16" t="s">
        <v>163</v>
      </c>
      <c r="C61" s="12">
        <v>0</v>
      </c>
      <c r="D61" s="22"/>
    </row>
    <row r="62" spans="1:4" ht="36" x14ac:dyDescent="0.35">
      <c r="A62" s="6">
        <v>39</v>
      </c>
      <c r="B62" s="16" t="s">
        <v>164</v>
      </c>
      <c r="C62" s="12">
        <v>0</v>
      </c>
      <c r="D62" s="22"/>
    </row>
    <row r="63" spans="1:4" ht="36" x14ac:dyDescent="0.35">
      <c r="A63" s="6">
        <v>40</v>
      </c>
      <c r="B63" s="24" t="s">
        <v>165</v>
      </c>
      <c r="C63" s="12">
        <v>0</v>
      </c>
      <c r="D63" s="22"/>
    </row>
    <row r="64" spans="1:4" x14ac:dyDescent="0.35">
      <c r="A64" s="6">
        <v>41</v>
      </c>
      <c r="B64" s="16" t="s">
        <v>115</v>
      </c>
      <c r="C64" s="12" t="s">
        <v>96</v>
      </c>
      <c r="D64" s="22"/>
    </row>
    <row r="65" spans="1:4" ht="24" x14ac:dyDescent="0.35">
      <c r="A65" s="6">
        <v>42</v>
      </c>
      <c r="B65" s="16" t="s">
        <v>166</v>
      </c>
      <c r="C65" s="12">
        <v>0</v>
      </c>
      <c r="D65" s="22"/>
    </row>
    <row r="66" spans="1:4" x14ac:dyDescent="0.35">
      <c r="A66" s="6" t="s">
        <v>167</v>
      </c>
      <c r="B66" s="16" t="s">
        <v>168</v>
      </c>
      <c r="C66" s="12">
        <v>0</v>
      </c>
      <c r="D66" s="22"/>
    </row>
    <row r="67" spans="1:4" x14ac:dyDescent="0.35">
      <c r="A67" s="13">
        <v>43</v>
      </c>
      <c r="B67" s="21" t="s">
        <v>169</v>
      </c>
      <c r="C67" s="12">
        <v>0</v>
      </c>
      <c r="D67" s="22"/>
    </row>
    <row r="68" spans="1:4" x14ac:dyDescent="0.35">
      <c r="A68" s="13">
        <v>44</v>
      </c>
      <c r="B68" s="21" t="s">
        <v>170</v>
      </c>
      <c r="C68" s="8">
        <f>702541203/1000000</f>
        <v>702.541203</v>
      </c>
      <c r="D68" s="22"/>
    </row>
    <row r="69" spans="1:4" x14ac:dyDescent="0.35">
      <c r="A69" s="13">
        <v>45</v>
      </c>
      <c r="B69" s="21" t="s">
        <v>171</v>
      </c>
      <c r="C69" s="15">
        <f>9846510974/1000000</f>
        <v>9846.5109740000007</v>
      </c>
      <c r="D69" s="22"/>
    </row>
    <row r="70" spans="1:4" x14ac:dyDescent="0.35">
      <c r="A70" s="498" t="s">
        <v>172</v>
      </c>
      <c r="B70" s="499"/>
      <c r="C70" s="499"/>
      <c r="D70" s="500"/>
    </row>
    <row r="71" spans="1:4" x14ac:dyDescent="0.35">
      <c r="A71" s="6">
        <v>46</v>
      </c>
      <c r="B71" s="16" t="s">
        <v>93</v>
      </c>
      <c r="C71" s="8">
        <f>1498608782/1000000</f>
        <v>1498.608782</v>
      </c>
      <c r="D71" s="22"/>
    </row>
    <row r="72" spans="1:4" ht="24" x14ac:dyDescent="0.35">
      <c r="A72" s="6">
        <v>47</v>
      </c>
      <c r="B72" s="16" t="s">
        <v>173</v>
      </c>
      <c r="C72" s="12">
        <v>0</v>
      </c>
      <c r="D72" s="22"/>
    </row>
    <row r="73" spans="1:4" ht="24" x14ac:dyDescent="0.35">
      <c r="A73" s="6" t="s">
        <v>174</v>
      </c>
      <c r="B73" s="16" t="s">
        <v>175</v>
      </c>
      <c r="C73" s="12">
        <v>0</v>
      </c>
      <c r="D73" s="22"/>
    </row>
    <row r="74" spans="1:4" ht="24" x14ac:dyDescent="0.35">
      <c r="A74" s="6" t="s">
        <v>176</v>
      </c>
      <c r="B74" s="16" t="s">
        <v>177</v>
      </c>
      <c r="C74" s="12">
        <v>0</v>
      </c>
      <c r="D74" s="22"/>
    </row>
    <row r="75" spans="1:4" ht="36" x14ac:dyDescent="0.35">
      <c r="A75" s="6">
        <v>48</v>
      </c>
      <c r="B75" s="16" t="s">
        <v>178</v>
      </c>
      <c r="C75" s="8">
        <f>-114712318/1000000</f>
        <v>-114.712318</v>
      </c>
      <c r="D75" s="22"/>
    </row>
    <row r="76" spans="1:4" x14ac:dyDescent="0.35">
      <c r="A76" s="6">
        <v>49</v>
      </c>
      <c r="B76" s="16" t="s">
        <v>159</v>
      </c>
      <c r="C76" s="8">
        <f>-114712318/1000000</f>
        <v>-114.712318</v>
      </c>
      <c r="D76" s="22"/>
    </row>
    <row r="77" spans="1:4" x14ac:dyDescent="0.35">
      <c r="A77" s="6">
        <v>50</v>
      </c>
      <c r="B77" s="16" t="s">
        <v>179</v>
      </c>
      <c r="C77" s="12">
        <v>0</v>
      </c>
      <c r="D77" s="22"/>
    </row>
    <row r="78" spans="1:4" x14ac:dyDescent="0.35">
      <c r="A78" s="13">
        <v>51</v>
      </c>
      <c r="B78" s="21" t="s">
        <v>180</v>
      </c>
      <c r="C78" s="15">
        <f>1383896464/1000000</f>
        <v>1383.8964639999999</v>
      </c>
      <c r="D78" s="25"/>
    </row>
    <row r="79" spans="1:4" x14ac:dyDescent="0.35">
      <c r="A79" s="498" t="s">
        <v>181</v>
      </c>
      <c r="B79" s="499"/>
      <c r="C79" s="499"/>
      <c r="D79" s="500"/>
    </row>
    <row r="80" spans="1:4" ht="24" x14ac:dyDescent="0.35">
      <c r="A80" s="6">
        <v>52</v>
      </c>
      <c r="B80" s="16" t="s">
        <v>182</v>
      </c>
      <c r="C80" s="23">
        <v>0</v>
      </c>
      <c r="D80" s="22"/>
    </row>
    <row r="81" spans="1:6" ht="48" x14ac:dyDescent="0.35">
      <c r="A81" s="6">
        <v>53</v>
      </c>
      <c r="B81" s="16" t="s">
        <v>183</v>
      </c>
      <c r="C81" s="12">
        <v>0</v>
      </c>
      <c r="D81" s="22"/>
    </row>
    <row r="82" spans="1:6" ht="36" x14ac:dyDescent="0.35">
      <c r="A82" s="6">
        <v>54</v>
      </c>
      <c r="B82" s="16" t="s">
        <v>184</v>
      </c>
      <c r="C82" s="12">
        <v>0</v>
      </c>
      <c r="D82" s="22"/>
    </row>
    <row r="83" spans="1:6" x14ac:dyDescent="0.35">
      <c r="A83" s="6" t="s">
        <v>185</v>
      </c>
      <c r="B83" s="16" t="s">
        <v>115</v>
      </c>
      <c r="C83" s="12" t="s">
        <v>96</v>
      </c>
      <c r="D83" s="22"/>
    </row>
    <row r="84" spans="1:6" ht="36" x14ac:dyDescent="0.35">
      <c r="A84" s="6">
        <v>55</v>
      </c>
      <c r="B84" s="16" t="s">
        <v>186</v>
      </c>
      <c r="C84" s="12">
        <v>0</v>
      </c>
      <c r="D84" s="22"/>
    </row>
    <row r="85" spans="1:6" x14ac:dyDescent="0.35">
      <c r="A85" s="6">
        <v>56</v>
      </c>
      <c r="B85" s="16" t="s">
        <v>115</v>
      </c>
      <c r="C85" s="12" t="s">
        <v>96</v>
      </c>
      <c r="D85" s="22"/>
    </row>
    <row r="86" spans="1:6" ht="24" x14ac:dyDescent="0.35">
      <c r="A86" s="6" t="s">
        <v>187</v>
      </c>
      <c r="B86" s="19" t="s">
        <v>188</v>
      </c>
      <c r="C86" s="12">
        <v>0</v>
      </c>
      <c r="D86" s="22"/>
    </row>
    <row r="87" spans="1:6" x14ac:dyDescent="0.35">
      <c r="A87" s="6" t="s">
        <v>189</v>
      </c>
      <c r="B87" s="19" t="s">
        <v>190</v>
      </c>
      <c r="C87" s="12">
        <v>0</v>
      </c>
      <c r="D87" s="22"/>
    </row>
    <row r="88" spans="1:6" x14ac:dyDescent="0.35">
      <c r="A88" s="13">
        <v>57</v>
      </c>
      <c r="B88" s="26" t="s">
        <v>191</v>
      </c>
      <c r="C88" s="12">
        <v>0</v>
      </c>
      <c r="D88" s="22"/>
    </row>
    <row r="89" spans="1:6" x14ac:dyDescent="0.35">
      <c r="A89" s="13">
        <v>58</v>
      </c>
      <c r="B89" s="26" t="s">
        <v>192</v>
      </c>
      <c r="C89" s="8">
        <f>1383896464/1000000</f>
        <v>1383.8964639999999</v>
      </c>
      <c r="D89" s="22"/>
    </row>
    <row r="90" spans="1:6" x14ac:dyDescent="0.35">
      <c r="A90" s="13">
        <v>59</v>
      </c>
      <c r="B90" s="26" t="s">
        <v>193</v>
      </c>
      <c r="C90" s="8">
        <f>11230407438/1000000</f>
        <v>11230.407438</v>
      </c>
      <c r="D90" s="22"/>
    </row>
    <row r="91" spans="1:6" x14ac:dyDescent="0.35">
      <c r="A91" s="13">
        <v>60</v>
      </c>
      <c r="B91" s="26" t="s">
        <v>194</v>
      </c>
      <c r="C91" s="15">
        <f>62942737357/1000000</f>
        <v>62942.737356999998</v>
      </c>
      <c r="D91" s="25"/>
    </row>
    <row r="92" spans="1:6" x14ac:dyDescent="0.35">
      <c r="A92" s="498" t="s">
        <v>195</v>
      </c>
      <c r="B92" s="499" t="s">
        <v>195</v>
      </c>
      <c r="C92" s="499"/>
      <c r="D92" s="500"/>
      <c r="F92" s="27"/>
    </row>
    <row r="93" spans="1:6" x14ac:dyDescent="0.35">
      <c r="A93" s="6">
        <v>61</v>
      </c>
      <c r="B93" s="16" t="s">
        <v>196</v>
      </c>
      <c r="C93" s="28">
        <f>C48/C91</f>
        <v>0.14527442171980909</v>
      </c>
      <c r="D93" s="22"/>
    </row>
    <row r="94" spans="1:6" x14ac:dyDescent="0.35">
      <c r="A94" s="6">
        <v>62</v>
      </c>
      <c r="B94" s="16" t="s">
        <v>197</v>
      </c>
      <c r="C94" s="29">
        <v>0.15643599999999999</v>
      </c>
      <c r="D94" s="22"/>
    </row>
    <row r="95" spans="1:6" x14ac:dyDescent="0.35">
      <c r="A95" s="6">
        <v>63</v>
      </c>
      <c r="B95" s="16" t="s">
        <v>198</v>
      </c>
      <c r="C95" s="29">
        <f>C90/C91</f>
        <v>0.17842260933621507</v>
      </c>
      <c r="D95" s="17"/>
    </row>
    <row r="96" spans="1:6" x14ac:dyDescent="0.35">
      <c r="A96" s="6">
        <v>64</v>
      </c>
      <c r="B96" s="16" t="s">
        <v>199</v>
      </c>
      <c r="C96" s="29">
        <v>8.1199999999999994E-2</v>
      </c>
      <c r="D96" s="22"/>
    </row>
    <row r="97" spans="1:4" x14ac:dyDescent="0.35">
      <c r="A97" s="6">
        <v>65</v>
      </c>
      <c r="B97" s="19" t="s">
        <v>200</v>
      </c>
      <c r="C97" s="29">
        <v>2.5000000000000001E-2</v>
      </c>
      <c r="D97" s="22"/>
    </row>
    <row r="98" spans="1:4" x14ac:dyDescent="0.35">
      <c r="A98" s="6">
        <v>66</v>
      </c>
      <c r="B98" s="19" t="s">
        <v>201</v>
      </c>
      <c r="C98" s="30">
        <v>0</v>
      </c>
      <c r="D98" s="22"/>
    </row>
    <row r="99" spans="1:4" x14ac:dyDescent="0.35">
      <c r="A99" s="6">
        <v>67</v>
      </c>
      <c r="B99" s="19" t="s">
        <v>202</v>
      </c>
      <c r="C99" s="30">
        <v>0</v>
      </c>
      <c r="D99" s="22"/>
    </row>
    <row r="100" spans="1:4" x14ac:dyDescent="0.35">
      <c r="A100" s="6" t="s">
        <v>203</v>
      </c>
      <c r="B100" s="16" t="s">
        <v>204</v>
      </c>
      <c r="C100" s="30">
        <v>0</v>
      </c>
      <c r="D100" s="22"/>
    </row>
    <row r="101" spans="1:4" ht="24" x14ac:dyDescent="0.35">
      <c r="A101" s="6" t="s">
        <v>205</v>
      </c>
      <c r="B101" s="16" t="s">
        <v>206</v>
      </c>
      <c r="C101" s="30">
        <f>0.01119678425</f>
        <v>1.1196784249999999E-2</v>
      </c>
      <c r="D101" s="22"/>
    </row>
    <row r="102" spans="1:4" ht="36" x14ac:dyDescent="0.35">
      <c r="A102" s="6">
        <v>68</v>
      </c>
      <c r="B102" s="21" t="s">
        <v>207</v>
      </c>
      <c r="C102" s="30">
        <v>8.9177999999999993E-2</v>
      </c>
      <c r="D102" s="22"/>
    </row>
    <row r="103" spans="1:4" x14ac:dyDescent="0.35">
      <c r="A103" s="6">
        <v>69</v>
      </c>
      <c r="B103" s="31" t="s">
        <v>115</v>
      </c>
      <c r="C103" s="32"/>
      <c r="D103" s="19"/>
    </row>
    <row r="104" spans="1:4" x14ac:dyDescent="0.35">
      <c r="A104" s="6">
        <v>70</v>
      </c>
      <c r="B104" s="31" t="s">
        <v>115</v>
      </c>
      <c r="C104" s="33"/>
      <c r="D104" s="19"/>
    </row>
    <row r="105" spans="1:4" x14ac:dyDescent="0.35">
      <c r="A105" s="6">
        <v>71</v>
      </c>
      <c r="B105" s="31" t="s">
        <v>115</v>
      </c>
      <c r="C105" s="33"/>
      <c r="D105" s="19"/>
    </row>
    <row r="106" spans="1:4" x14ac:dyDescent="0.35">
      <c r="A106" s="498" t="s">
        <v>208</v>
      </c>
      <c r="B106" s="499"/>
      <c r="C106" s="499"/>
      <c r="D106" s="500"/>
    </row>
    <row r="107" spans="1:4" ht="36" x14ac:dyDescent="0.35">
      <c r="A107" s="34">
        <v>72</v>
      </c>
      <c r="B107" s="35" t="s">
        <v>209</v>
      </c>
      <c r="C107" s="8">
        <f>1070409027/1000000</f>
        <v>1070.4090269999999</v>
      </c>
      <c r="D107" s="36"/>
    </row>
    <row r="108" spans="1:4" ht="36" x14ac:dyDescent="0.35">
      <c r="A108" s="6">
        <v>73</v>
      </c>
      <c r="B108" s="16" t="s">
        <v>210</v>
      </c>
      <c r="C108" s="8">
        <f>486940346/1000000</f>
        <v>486.94034599999998</v>
      </c>
      <c r="D108" s="22"/>
    </row>
    <row r="109" spans="1:4" x14ac:dyDescent="0.35">
      <c r="A109" s="6">
        <v>74</v>
      </c>
      <c r="B109" s="16" t="s">
        <v>115</v>
      </c>
      <c r="C109" s="12" t="s">
        <v>96</v>
      </c>
      <c r="D109" s="22"/>
    </row>
    <row r="110" spans="1:4" ht="24" x14ac:dyDescent="0.35">
      <c r="A110" s="6">
        <v>75</v>
      </c>
      <c r="B110" s="16" t="s">
        <v>211</v>
      </c>
      <c r="C110" s="12">
        <v>0</v>
      </c>
      <c r="D110" s="22"/>
    </row>
    <row r="111" spans="1:4" x14ac:dyDescent="0.35">
      <c r="A111" s="498" t="s">
        <v>212</v>
      </c>
      <c r="B111" s="499"/>
      <c r="C111" s="499"/>
      <c r="D111" s="500"/>
    </row>
    <row r="112" spans="1:4" ht="24" x14ac:dyDescent="0.35">
      <c r="A112" s="6">
        <v>76</v>
      </c>
      <c r="B112" s="16" t="s">
        <v>213</v>
      </c>
      <c r="C112" s="33">
        <v>0</v>
      </c>
      <c r="D112" s="19"/>
    </row>
    <row r="113" spans="1:4" ht="24" x14ac:dyDescent="0.35">
      <c r="A113" s="6">
        <v>77</v>
      </c>
      <c r="B113" s="16" t="s">
        <v>214</v>
      </c>
      <c r="C113" s="33">
        <v>0</v>
      </c>
      <c r="D113" s="19"/>
    </row>
    <row r="114" spans="1:4" ht="24" x14ac:dyDescent="0.35">
      <c r="A114" s="6">
        <v>78</v>
      </c>
      <c r="B114" s="16" t="s">
        <v>215</v>
      </c>
      <c r="C114" s="33">
        <v>0</v>
      </c>
      <c r="D114" s="19"/>
    </row>
    <row r="115" spans="1:4" x14ac:dyDescent="0.35">
      <c r="A115" s="6">
        <v>79</v>
      </c>
      <c r="B115" s="16" t="s">
        <v>216</v>
      </c>
      <c r="C115" s="33">
        <v>0</v>
      </c>
      <c r="D115" s="19"/>
    </row>
    <row r="116" spans="1:4" x14ac:dyDescent="0.35">
      <c r="A116" s="501" t="s">
        <v>217</v>
      </c>
      <c r="B116" s="502"/>
      <c r="C116" s="502"/>
      <c r="D116" s="503"/>
    </row>
    <row r="117" spans="1:4" x14ac:dyDescent="0.35">
      <c r="A117" s="6">
        <v>80</v>
      </c>
      <c r="B117" s="16" t="s">
        <v>218</v>
      </c>
      <c r="C117" s="37"/>
      <c r="D117" s="19"/>
    </row>
    <row r="118" spans="1:4" ht="24" x14ac:dyDescent="0.35">
      <c r="A118" s="6">
        <v>81</v>
      </c>
      <c r="B118" s="16" t="s">
        <v>219</v>
      </c>
      <c r="C118" s="37"/>
      <c r="D118" s="19"/>
    </row>
    <row r="119" spans="1:4" x14ac:dyDescent="0.35">
      <c r="A119" s="6">
        <v>82</v>
      </c>
      <c r="B119" s="24" t="s">
        <v>220</v>
      </c>
      <c r="C119" s="33"/>
      <c r="D119" s="19"/>
    </row>
    <row r="120" spans="1:4" ht="24" x14ac:dyDescent="0.35">
      <c r="A120" s="6">
        <v>83</v>
      </c>
      <c r="B120" s="16" t="s">
        <v>221</v>
      </c>
      <c r="C120" s="33"/>
      <c r="D120" s="19"/>
    </row>
    <row r="121" spans="1:4" x14ac:dyDescent="0.35">
      <c r="A121" s="6">
        <v>84</v>
      </c>
      <c r="B121" s="16" t="s">
        <v>222</v>
      </c>
      <c r="C121" s="33"/>
      <c r="D121" s="19"/>
    </row>
    <row r="122" spans="1:4" ht="24" x14ac:dyDescent="0.35">
      <c r="A122" s="6">
        <v>85</v>
      </c>
      <c r="B122" s="16" t="s">
        <v>223</v>
      </c>
      <c r="C122" s="33"/>
      <c r="D122" s="19"/>
    </row>
  </sheetData>
  <mergeCells count="10">
    <mergeCell ref="A92:D92"/>
    <mergeCell ref="A106:D106"/>
    <mergeCell ref="A111:D111"/>
    <mergeCell ref="A116:D116"/>
    <mergeCell ref="A6:D6"/>
    <mergeCell ref="A18:D18"/>
    <mergeCell ref="A49:D49"/>
    <mergeCell ref="A59:D59"/>
    <mergeCell ref="A70:D70"/>
    <mergeCell ref="A79:D7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FEFF-F669-41E3-B804-7C04EB7C410C}">
  <dimension ref="A2:D48"/>
  <sheetViews>
    <sheetView workbookViewId="0"/>
  </sheetViews>
  <sheetFormatPr defaultRowHeight="14.5" x14ac:dyDescent="0.35"/>
  <cols>
    <col min="1" max="1" width="45" customWidth="1"/>
    <col min="2" max="2" width="22.1796875" customWidth="1"/>
    <col min="3" max="3" width="22.7265625" customWidth="1"/>
    <col min="4" max="4" width="48" customWidth="1"/>
  </cols>
  <sheetData>
    <row r="2" spans="1:4" ht="18.5" x14ac:dyDescent="0.35">
      <c r="A2" s="1" t="s">
        <v>224</v>
      </c>
    </row>
    <row r="3" spans="1:4" x14ac:dyDescent="0.35">
      <c r="A3" s="507" t="s">
        <v>225</v>
      </c>
      <c r="B3" s="507"/>
      <c r="C3" s="507"/>
      <c r="D3" s="507"/>
    </row>
    <row r="4" spans="1:4" x14ac:dyDescent="0.35">
      <c r="A4" s="507"/>
      <c r="B4" s="507"/>
      <c r="C4" s="507"/>
      <c r="D4" s="507"/>
    </row>
    <row r="5" spans="1:4" x14ac:dyDescent="0.35">
      <c r="A5" s="507"/>
      <c r="B5" s="507"/>
      <c r="C5" s="507"/>
      <c r="D5" s="507"/>
    </row>
    <row r="6" spans="1:4" x14ac:dyDescent="0.35">
      <c r="A6" s="38"/>
      <c r="B6" s="39" t="s">
        <v>226</v>
      </c>
      <c r="C6" s="40" t="s">
        <v>227</v>
      </c>
      <c r="D6" s="40" t="s">
        <v>228</v>
      </c>
    </row>
    <row r="7" spans="1:4" ht="43.5" x14ac:dyDescent="0.35">
      <c r="A7" s="41" t="s">
        <v>62</v>
      </c>
      <c r="B7" s="42" t="s">
        <v>229</v>
      </c>
      <c r="C7" s="43" t="s">
        <v>230</v>
      </c>
      <c r="D7" s="43" t="s">
        <v>231</v>
      </c>
    </row>
    <row r="8" spans="1:4" x14ac:dyDescent="0.35">
      <c r="A8" s="38"/>
      <c r="B8" s="42" t="s">
        <v>232</v>
      </c>
      <c r="C8" s="42" t="s">
        <v>232</v>
      </c>
      <c r="D8" s="43"/>
    </row>
    <row r="9" spans="1:4" x14ac:dyDescent="0.35">
      <c r="A9" s="508" t="s">
        <v>233</v>
      </c>
      <c r="B9" s="509"/>
      <c r="C9" s="509"/>
      <c r="D9" s="510"/>
    </row>
    <row r="10" spans="1:4" x14ac:dyDescent="0.35">
      <c r="A10" s="44" t="s">
        <v>234</v>
      </c>
      <c r="B10" s="46">
        <f>9521675547/1000000</f>
        <v>9521.6755470000007</v>
      </c>
      <c r="C10" s="46">
        <f>+B10</f>
        <v>9521.6755470000007</v>
      </c>
      <c r="D10" s="45" t="s">
        <v>96</v>
      </c>
    </row>
    <row r="11" spans="1:4" x14ac:dyDescent="0.35">
      <c r="A11" s="44" t="s">
        <v>235</v>
      </c>
      <c r="B11" s="46">
        <f>619143220/1000000</f>
        <v>619.14322000000004</v>
      </c>
      <c r="C11" s="46">
        <f t="shared" ref="C11:C45" si="0">+B11</f>
        <v>619.14322000000004</v>
      </c>
      <c r="D11" s="45" t="s">
        <v>96</v>
      </c>
    </row>
    <row r="12" spans="1:4" x14ac:dyDescent="0.35">
      <c r="A12" s="44" t="s">
        <v>236</v>
      </c>
      <c r="B12" s="46">
        <f>44312778006/1000000</f>
        <v>44312.778006</v>
      </c>
      <c r="C12" s="46">
        <f t="shared" si="0"/>
        <v>44312.778006</v>
      </c>
      <c r="D12" s="45" t="s">
        <v>96</v>
      </c>
    </row>
    <row r="13" spans="1:4" x14ac:dyDescent="0.35">
      <c r="A13" s="44" t="s">
        <v>237</v>
      </c>
      <c r="B13" s="46">
        <f>29336597736/1000000</f>
        <v>29336.597736</v>
      </c>
      <c r="C13" s="46">
        <f t="shared" si="0"/>
        <v>29336.597736</v>
      </c>
      <c r="D13" s="45" t="s">
        <v>96</v>
      </c>
    </row>
    <row r="14" spans="1:4" x14ac:dyDescent="0.35">
      <c r="A14" s="44" t="s">
        <v>238</v>
      </c>
      <c r="B14" s="46">
        <f>2036354680/1000000</f>
        <v>2036.3546799999999</v>
      </c>
      <c r="C14" s="46">
        <f t="shared" si="0"/>
        <v>2036.3546799999999</v>
      </c>
      <c r="D14" s="45" t="s">
        <v>96</v>
      </c>
    </row>
    <row r="15" spans="1:4" x14ac:dyDescent="0.35">
      <c r="A15" s="44" t="s">
        <v>239</v>
      </c>
      <c r="B15" s="46">
        <f>141845333/1000000</f>
        <v>141.84533300000001</v>
      </c>
      <c r="C15" s="46">
        <f t="shared" si="0"/>
        <v>141.84533300000001</v>
      </c>
      <c r="D15" s="45" t="s">
        <v>96</v>
      </c>
    </row>
    <row r="16" spans="1:4" x14ac:dyDescent="0.35">
      <c r="A16" s="44" t="s">
        <v>240</v>
      </c>
      <c r="B16" s="46">
        <f>15467789447/1000000</f>
        <v>15467.789446999999</v>
      </c>
      <c r="C16" s="46">
        <f t="shared" si="0"/>
        <v>15467.789446999999</v>
      </c>
      <c r="D16" s="45" t="s">
        <v>96</v>
      </c>
    </row>
    <row r="17" spans="1:4" x14ac:dyDescent="0.35">
      <c r="A17" s="44" t="s">
        <v>241</v>
      </c>
      <c r="B17" s="46">
        <f>231610582/1000000</f>
        <v>231.61058199999999</v>
      </c>
      <c r="C17" s="46">
        <f t="shared" si="0"/>
        <v>231.61058199999999</v>
      </c>
      <c r="D17" s="45" t="s">
        <v>242</v>
      </c>
    </row>
    <row r="18" spans="1:4" x14ac:dyDescent="0.35">
      <c r="A18" s="44" t="s">
        <v>243</v>
      </c>
      <c r="B18" s="46">
        <f>1978272244/1000000</f>
        <v>1978.272244</v>
      </c>
      <c r="C18" s="46">
        <f t="shared" si="0"/>
        <v>1978.272244</v>
      </c>
      <c r="D18" s="45" t="s">
        <v>96</v>
      </c>
    </row>
    <row r="19" spans="1:4" x14ac:dyDescent="0.35">
      <c r="A19" s="44" t="s">
        <v>244</v>
      </c>
      <c r="B19" s="46">
        <f>160479358/1000000</f>
        <v>160.47935799999999</v>
      </c>
      <c r="C19" s="46">
        <f t="shared" si="0"/>
        <v>160.47935799999999</v>
      </c>
      <c r="D19" s="45" t="s">
        <v>96</v>
      </c>
    </row>
    <row r="20" spans="1:4" x14ac:dyDescent="0.35">
      <c r="A20" s="44" t="s">
        <v>245</v>
      </c>
      <c r="B20" s="46">
        <f>23185025/1000000</f>
        <v>23.185025</v>
      </c>
      <c r="C20" s="46">
        <f t="shared" si="0"/>
        <v>23.185025</v>
      </c>
      <c r="D20" s="45" t="s">
        <v>96</v>
      </c>
    </row>
    <row r="21" spans="1:4" x14ac:dyDescent="0.35">
      <c r="A21" s="44" t="s">
        <v>246</v>
      </c>
      <c r="B21" s="46">
        <f>252785703/1000000</f>
        <v>252.78570300000001</v>
      </c>
      <c r="C21" s="46">
        <f t="shared" si="0"/>
        <v>252.78570300000001</v>
      </c>
      <c r="D21" s="45" t="s">
        <v>247</v>
      </c>
    </row>
    <row r="22" spans="1:4" x14ac:dyDescent="0.35">
      <c r="A22" s="44" t="s">
        <v>248</v>
      </c>
      <c r="B22" s="46">
        <f>81246545/1000000</f>
        <v>81.246544999999998</v>
      </c>
      <c r="C22" s="46">
        <f t="shared" si="0"/>
        <v>81.246544999999998</v>
      </c>
      <c r="D22" s="45" t="s">
        <v>96</v>
      </c>
    </row>
    <row r="23" spans="1:4" x14ac:dyDescent="0.35">
      <c r="A23" s="44" t="s">
        <v>249</v>
      </c>
      <c r="B23" s="46">
        <f>1790863224/1000000</f>
        <v>1790.8632239999999</v>
      </c>
      <c r="C23" s="46">
        <f t="shared" si="0"/>
        <v>1790.8632239999999</v>
      </c>
      <c r="D23" s="45" t="s">
        <v>96</v>
      </c>
    </row>
    <row r="24" spans="1:4" x14ac:dyDescent="0.35">
      <c r="A24" s="44" t="s">
        <v>250</v>
      </c>
      <c r="B24" s="46">
        <f>131878044/1000000</f>
        <v>131.87804399999999</v>
      </c>
      <c r="C24" s="46">
        <f t="shared" si="0"/>
        <v>131.87804399999999</v>
      </c>
      <c r="D24" s="45" t="s">
        <v>96</v>
      </c>
    </row>
    <row r="25" spans="1:4" x14ac:dyDescent="0.35">
      <c r="A25" s="47"/>
      <c r="B25" s="48">
        <f>106086504694/1000000</f>
        <v>106086.504694</v>
      </c>
      <c r="C25" s="48">
        <f t="shared" si="0"/>
        <v>106086.504694</v>
      </c>
      <c r="D25" s="49"/>
    </row>
    <row r="26" spans="1:4" x14ac:dyDescent="0.35">
      <c r="A26" s="511" t="s">
        <v>251</v>
      </c>
      <c r="B26" s="511"/>
      <c r="C26" s="511"/>
      <c r="D26" s="511"/>
    </row>
    <row r="27" spans="1:4" x14ac:dyDescent="0.35">
      <c r="A27" s="44" t="s">
        <v>252</v>
      </c>
      <c r="B27" s="46">
        <f>600639678/1000000</f>
        <v>600.639678</v>
      </c>
      <c r="C27" s="46">
        <f t="shared" si="0"/>
        <v>600.639678</v>
      </c>
      <c r="D27" s="50" t="s">
        <v>96</v>
      </c>
    </row>
    <row r="28" spans="1:4" x14ac:dyDescent="0.35">
      <c r="A28" s="44" t="s">
        <v>253</v>
      </c>
      <c r="B28" s="46">
        <f>73098637661/1000000</f>
        <v>73098.637661000001</v>
      </c>
      <c r="C28" s="46">
        <f t="shared" si="0"/>
        <v>73098.637661000001</v>
      </c>
      <c r="D28" s="50" t="s">
        <v>96</v>
      </c>
    </row>
    <row r="29" spans="1:4" x14ac:dyDescent="0.35">
      <c r="A29" s="44" t="s">
        <v>254</v>
      </c>
      <c r="B29" s="46">
        <f>15467789447/1000000</f>
        <v>15467.789446999999</v>
      </c>
      <c r="C29" s="46">
        <f t="shared" si="0"/>
        <v>15467.789446999999</v>
      </c>
      <c r="D29" s="50" t="s">
        <v>96</v>
      </c>
    </row>
    <row r="30" spans="1:4" x14ac:dyDescent="0.35">
      <c r="A30" s="44" t="s">
        <v>255</v>
      </c>
      <c r="B30" s="46">
        <f>348646441/1000000</f>
        <v>348.64644099999998</v>
      </c>
      <c r="C30" s="46">
        <f t="shared" si="0"/>
        <v>348.64644099999998</v>
      </c>
      <c r="D30" s="50" t="s">
        <v>96</v>
      </c>
    </row>
    <row r="31" spans="1:4" x14ac:dyDescent="0.35">
      <c r="A31" s="44" t="s">
        <v>256</v>
      </c>
      <c r="B31" s="46">
        <f>120969760/1000000</f>
        <v>120.96975999999999</v>
      </c>
      <c r="C31" s="46">
        <f t="shared" si="0"/>
        <v>120.96975999999999</v>
      </c>
      <c r="D31" s="50" t="s">
        <v>96</v>
      </c>
    </row>
    <row r="32" spans="1:4" x14ac:dyDescent="0.35">
      <c r="A32" s="44" t="s">
        <v>257</v>
      </c>
      <c r="B32" s="46">
        <f>3141651791/1000000</f>
        <v>3141.6517909999998</v>
      </c>
      <c r="C32" s="46">
        <f t="shared" si="0"/>
        <v>3141.6517909999998</v>
      </c>
      <c r="D32" s="50" t="s">
        <v>96</v>
      </c>
    </row>
    <row r="33" spans="1:4" x14ac:dyDescent="0.35">
      <c r="A33" s="44" t="s">
        <v>250</v>
      </c>
      <c r="B33" s="46">
        <f>84806133/1000000</f>
        <v>84.806133000000003</v>
      </c>
      <c r="C33" s="46">
        <f t="shared" si="0"/>
        <v>84.806133000000003</v>
      </c>
      <c r="D33" s="50" t="s">
        <v>96</v>
      </c>
    </row>
    <row r="34" spans="1:4" x14ac:dyDescent="0.35">
      <c r="A34" s="44" t="s">
        <v>258</v>
      </c>
      <c r="B34" s="46">
        <f>252628189/1000000</f>
        <v>252.62818899999999</v>
      </c>
      <c r="C34" s="46">
        <f t="shared" si="0"/>
        <v>252.62818899999999</v>
      </c>
      <c r="D34" s="50" t="s">
        <v>96</v>
      </c>
    </row>
    <row r="35" spans="1:4" x14ac:dyDescent="0.35">
      <c r="A35" s="44" t="s">
        <v>259</v>
      </c>
      <c r="B35" s="46">
        <f>1498608782/1000000</f>
        <v>1498.608782</v>
      </c>
      <c r="C35" s="46">
        <f t="shared" si="0"/>
        <v>1498.608782</v>
      </c>
      <c r="D35" s="50" t="s">
        <v>96</v>
      </c>
    </row>
    <row r="36" spans="1:4" x14ac:dyDescent="0.35">
      <c r="A36" s="44"/>
      <c r="B36" s="48">
        <f>94614377884/1000000</f>
        <v>94614.377884000001</v>
      </c>
      <c r="C36" s="48">
        <f t="shared" si="0"/>
        <v>94614.377884000001</v>
      </c>
      <c r="D36" s="50" t="s">
        <v>96</v>
      </c>
    </row>
    <row r="37" spans="1:4" x14ac:dyDescent="0.35">
      <c r="A37" s="512" t="s">
        <v>260</v>
      </c>
      <c r="B37" s="513"/>
      <c r="C37" s="513"/>
      <c r="D37" s="514"/>
    </row>
    <row r="38" spans="1:4" x14ac:dyDescent="0.35">
      <c r="A38" s="44" t="s">
        <v>261</v>
      </c>
      <c r="B38" s="46">
        <f>9295981630.05/1000000</f>
        <v>9295.9816300499988</v>
      </c>
      <c r="C38" s="46">
        <f t="shared" si="0"/>
        <v>9295.9816300499988</v>
      </c>
      <c r="D38" s="51" t="s">
        <v>96</v>
      </c>
    </row>
    <row r="39" spans="1:4" x14ac:dyDescent="0.35">
      <c r="A39" s="52" t="s">
        <v>262</v>
      </c>
      <c r="B39" s="46">
        <f>2100000000/1000000</f>
        <v>2100</v>
      </c>
      <c r="C39" s="46">
        <f t="shared" si="0"/>
        <v>2100</v>
      </c>
      <c r="D39" s="53" t="s">
        <v>263</v>
      </c>
    </row>
    <row r="40" spans="1:4" x14ac:dyDescent="0.35">
      <c r="A40" s="52" t="s">
        <v>264</v>
      </c>
      <c r="B40" s="46">
        <f>980455617/1000000</f>
        <v>980.45561699999996</v>
      </c>
      <c r="C40" s="46">
        <f t="shared" si="0"/>
        <v>980.45561699999996</v>
      </c>
      <c r="D40" s="53" t="s">
        <v>265</v>
      </c>
    </row>
    <row r="41" spans="1:4" x14ac:dyDescent="0.35">
      <c r="A41" s="52" t="s">
        <v>266</v>
      </c>
      <c r="B41" s="46">
        <f>6215526013/1000000</f>
        <v>6215.5260129999997</v>
      </c>
      <c r="C41" s="46">
        <f t="shared" si="0"/>
        <v>6215.5260129999997</v>
      </c>
      <c r="D41" s="53" t="s">
        <v>267</v>
      </c>
    </row>
    <row r="42" spans="1:4" x14ac:dyDescent="0.35">
      <c r="A42" s="44" t="s">
        <v>268</v>
      </c>
      <c r="B42" s="46">
        <f>748654927/1000000</f>
        <v>748.65492700000004</v>
      </c>
      <c r="C42" s="46">
        <f t="shared" si="0"/>
        <v>748.65492700000004</v>
      </c>
      <c r="D42" s="53" t="s">
        <v>269</v>
      </c>
    </row>
    <row r="43" spans="1:4" x14ac:dyDescent="0.35">
      <c r="A43" s="44" t="s">
        <v>270</v>
      </c>
      <c r="B43" s="46">
        <f>1427490253/1000000</f>
        <v>1427.4902529999999</v>
      </c>
      <c r="C43" s="46">
        <f t="shared" si="0"/>
        <v>1427.4902529999999</v>
      </c>
      <c r="D43" s="53" t="s">
        <v>271</v>
      </c>
    </row>
    <row r="44" spans="1:4" x14ac:dyDescent="0.35">
      <c r="A44" s="52" t="s">
        <v>272</v>
      </c>
      <c r="B44" s="48">
        <f>11472126811/1000000</f>
        <v>11472.126811</v>
      </c>
      <c r="C44" s="46">
        <f t="shared" si="0"/>
        <v>11472.126811</v>
      </c>
      <c r="D44" s="54" t="s">
        <v>96</v>
      </c>
    </row>
    <row r="45" spans="1:4" x14ac:dyDescent="0.35">
      <c r="A45" s="55" t="s">
        <v>273</v>
      </c>
      <c r="B45" s="48">
        <f>106086504694/1000000</f>
        <v>106086.504694</v>
      </c>
      <c r="C45" s="48">
        <f t="shared" si="0"/>
        <v>106086.504694</v>
      </c>
      <c r="D45" s="44"/>
    </row>
    <row r="47" spans="1:4" x14ac:dyDescent="0.35">
      <c r="B47" s="56"/>
    </row>
    <row r="48" spans="1:4" x14ac:dyDescent="0.35">
      <c r="B48" s="56"/>
    </row>
  </sheetData>
  <mergeCells count="4">
    <mergeCell ref="A3:D5"/>
    <mergeCell ref="A9:D9"/>
    <mergeCell ref="A26:D26"/>
    <mergeCell ref="A37:D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C62A7-32AC-43F1-B4C8-603DFAAF9D4F}">
  <dimension ref="A2:O12"/>
  <sheetViews>
    <sheetView topLeftCell="B1" workbookViewId="0">
      <selection activeCell="B1" sqref="B1"/>
    </sheetView>
  </sheetViews>
  <sheetFormatPr defaultRowHeight="14.5" x14ac:dyDescent="0.35"/>
  <cols>
    <col min="1" max="1" width="3.7265625" hidden="1" customWidth="1"/>
    <col min="2" max="2" width="9.453125" customWidth="1"/>
    <col min="3" max="3" width="14.1796875" customWidth="1"/>
    <col min="4" max="4" width="11.453125" customWidth="1"/>
    <col min="5" max="5" width="18.81640625" customWidth="1"/>
    <col min="6" max="6" width="12.26953125" customWidth="1"/>
    <col min="7" max="7" width="12.453125" customWidth="1"/>
    <col min="8" max="8" width="11.81640625" customWidth="1"/>
    <col min="9" max="9" width="14.81640625" customWidth="1"/>
    <col min="10" max="10" width="14" customWidth="1"/>
    <col min="11" max="11" width="13.1796875" customWidth="1"/>
    <col min="12" max="12" width="10.54296875" customWidth="1"/>
    <col min="13" max="13" width="11.54296875" customWidth="1"/>
    <col min="14" max="14" width="11.1796875" customWidth="1"/>
    <col min="15" max="15" width="5.54296875" customWidth="1"/>
  </cols>
  <sheetData>
    <row r="2" spans="1:15" ht="18.5" x14ac:dyDescent="0.35">
      <c r="B2" s="58" t="s">
        <v>274</v>
      </c>
    </row>
    <row r="3" spans="1:15" ht="18.5" x14ac:dyDescent="0.35">
      <c r="B3" s="58"/>
    </row>
    <row r="5" spans="1:15" x14ac:dyDescent="0.35">
      <c r="A5" s="59"/>
      <c r="B5" s="59"/>
      <c r="C5" s="60" t="s">
        <v>226</v>
      </c>
      <c r="D5" s="60" t="s">
        <v>227</v>
      </c>
      <c r="E5" s="60" t="s">
        <v>228</v>
      </c>
      <c r="F5" s="60" t="s">
        <v>275</v>
      </c>
      <c r="G5" s="60" t="s">
        <v>276</v>
      </c>
      <c r="H5" s="60" t="s">
        <v>277</v>
      </c>
      <c r="I5" s="60" t="s">
        <v>278</v>
      </c>
      <c r="J5" s="60" t="s">
        <v>279</v>
      </c>
      <c r="K5" s="60" t="s">
        <v>280</v>
      </c>
      <c r="L5" s="60" t="s">
        <v>281</v>
      </c>
      <c r="M5" s="60" t="s">
        <v>282</v>
      </c>
      <c r="N5" s="60" t="s">
        <v>283</v>
      </c>
      <c r="O5" s="60" t="s">
        <v>284</v>
      </c>
    </row>
    <row r="6" spans="1:15" x14ac:dyDescent="0.35">
      <c r="A6" s="61"/>
      <c r="B6" s="61"/>
      <c r="C6" s="518" t="s">
        <v>285</v>
      </c>
      <c r="D6" s="519"/>
      <c r="E6" s="518" t="s">
        <v>286</v>
      </c>
      <c r="F6" s="519"/>
      <c r="G6" s="515" t="s">
        <v>287</v>
      </c>
      <c r="H6" s="515" t="s">
        <v>288</v>
      </c>
      <c r="I6" s="518" t="s">
        <v>289</v>
      </c>
      <c r="J6" s="522"/>
      <c r="K6" s="522"/>
      <c r="L6" s="519"/>
      <c r="M6" s="515" t="s">
        <v>290</v>
      </c>
      <c r="N6" s="515" t="s">
        <v>291</v>
      </c>
      <c r="O6" s="515" t="s">
        <v>292</v>
      </c>
    </row>
    <row r="7" spans="1:15" ht="21.75" customHeight="1" x14ac:dyDescent="0.35">
      <c r="A7" s="61"/>
      <c r="B7" s="61"/>
      <c r="C7" s="520"/>
      <c r="D7" s="521"/>
      <c r="E7" s="520"/>
      <c r="F7" s="521"/>
      <c r="G7" s="516"/>
      <c r="H7" s="516"/>
      <c r="I7" s="520"/>
      <c r="J7" s="523"/>
      <c r="K7" s="523"/>
      <c r="L7" s="524"/>
      <c r="M7" s="516"/>
      <c r="N7" s="516"/>
      <c r="O7" s="516"/>
    </row>
    <row r="8" spans="1:15" s="65" customFormat="1" ht="84" x14ac:dyDescent="0.35">
      <c r="A8" s="62"/>
      <c r="B8" s="62" t="s">
        <v>62</v>
      </c>
      <c r="C8" s="63" t="s">
        <v>293</v>
      </c>
      <c r="D8" s="63" t="s">
        <v>294</v>
      </c>
      <c r="E8" s="63" t="s">
        <v>295</v>
      </c>
      <c r="F8" s="63" t="s">
        <v>296</v>
      </c>
      <c r="G8" s="517"/>
      <c r="H8" s="517"/>
      <c r="I8" s="64" t="s">
        <v>297</v>
      </c>
      <c r="J8" s="64" t="s">
        <v>298</v>
      </c>
      <c r="K8" s="64" t="s">
        <v>299</v>
      </c>
      <c r="L8" s="63" t="s">
        <v>300</v>
      </c>
      <c r="M8" s="517"/>
      <c r="N8" s="517"/>
      <c r="O8" s="517"/>
    </row>
    <row r="9" spans="1:15" x14ac:dyDescent="0.35">
      <c r="A9" s="66" t="s">
        <v>301</v>
      </c>
      <c r="B9" s="67" t="s">
        <v>302</v>
      </c>
      <c r="C9" s="68"/>
      <c r="D9" s="68"/>
      <c r="E9" s="68"/>
      <c r="F9" s="68"/>
      <c r="G9" s="68"/>
      <c r="H9" s="68"/>
      <c r="I9" s="68"/>
      <c r="J9" s="68"/>
      <c r="K9" s="68"/>
      <c r="L9" s="68"/>
      <c r="M9" s="68"/>
      <c r="N9" s="69"/>
      <c r="O9" s="69"/>
    </row>
    <row r="10" spans="1:15" x14ac:dyDescent="0.35">
      <c r="A10" s="59"/>
      <c r="B10" s="70" t="s">
        <v>303</v>
      </c>
      <c r="C10" s="71">
        <f>72678393875/1000000</f>
        <v>72678.393874999994</v>
      </c>
      <c r="D10" s="71">
        <v>0</v>
      </c>
      <c r="E10" s="71">
        <f>26018972203/1000000</f>
        <v>26018.972203000001</v>
      </c>
      <c r="F10" s="71">
        <v>0</v>
      </c>
      <c r="G10" s="71">
        <v>0</v>
      </c>
      <c r="H10" s="71">
        <f>+C10+E10</f>
        <v>98697.366077999992</v>
      </c>
      <c r="I10" s="71">
        <f>3812809827/1000000</f>
        <v>3812.809827</v>
      </c>
      <c r="J10" s="71">
        <f>281335096.3/1000000</f>
        <v>281.33509630000003</v>
      </c>
      <c r="K10" s="71">
        <v>0</v>
      </c>
      <c r="L10" s="71">
        <f>+I10+J10+K10</f>
        <v>4094.1449233000003</v>
      </c>
      <c r="M10" s="71">
        <f>51176811541/1000000</f>
        <v>51176.811541000003</v>
      </c>
      <c r="N10" s="72">
        <v>0.95484246299999997</v>
      </c>
      <c r="O10" s="71">
        <v>0</v>
      </c>
    </row>
    <row r="11" spans="1:15" x14ac:dyDescent="0.35">
      <c r="A11" s="59"/>
      <c r="B11" s="73" t="s">
        <v>304</v>
      </c>
      <c r="C11" s="74">
        <f>318975937.1/1000000</f>
        <v>318.97593710000001</v>
      </c>
      <c r="D11" s="74">
        <v>0</v>
      </c>
      <c r="E11" s="74">
        <f>2986568860/1000000</f>
        <v>2986.5688599999999</v>
      </c>
      <c r="F11" s="74">
        <v>0</v>
      </c>
      <c r="G11" s="74">
        <v>0</v>
      </c>
      <c r="H11" s="71">
        <f>+C11+E11</f>
        <v>3305.5447970999999</v>
      </c>
      <c r="I11" s="74">
        <f>23881579.4/1000000</f>
        <v>23.8815794</v>
      </c>
      <c r="J11" s="74">
        <f>11804703.93/1000000</f>
        <v>11.804703930000001</v>
      </c>
      <c r="K11" s="74">
        <v>0</v>
      </c>
      <c r="L11" s="71">
        <f>+I11+J11+K11</f>
        <v>35.686283330000002</v>
      </c>
      <c r="M11" s="74">
        <f>446078541.6/1000000</f>
        <v>446.07854160000005</v>
      </c>
      <c r="N11" s="75">
        <v>4.5157536999999998E-2</v>
      </c>
      <c r="O11" s="74">
        <v>0</v>
      </c>
    </row>
    <row r="12" spans="1:15" x14ac:dyDescent="0.35">
      <c r="A12" s="76" t="s">
        <v>305</v>
      </c>
      <c r="B12" s="77" t="s">
        <v>306</v>
      </c>
      <c r="C12" s="78">
        <f>+C10+C11</f>
        <v>72997.369812099991</v>
      </c>
      <c r="D12" s="74">
        <v>0</v>
      </c>
      <c r="E12" s="78">
        <f>+E10+E11</f>
        <v>29005.541063000001</v>
      </c>
      <c r="F12" s="74">
        <v>0</v>
      </c>
      <c r="G12" s="74">
        <v>0</v>
      </c>
      <c r="H12" s="79">
        <f>+C12+E12</f>
        <v>102002.91087509999</v>
      </c>
      <c r="I12" s="78">
        <f>+I10+I11</f>
        <v>3836.6914064000002</v>
      </c>
      <c r="J12" s="78">
        <f>+J10+J11</f>
        <v>293.13980023000005</v>
      </c>
      <c r="K12" s="74">
        <v>0</v>
      </c>
      <c r="L12" s="79">
        <f>+I12+J12+K12</f>
        <v>4129.8312066300005</v>
      </c>
      <c r="M12" s="78">
        <f>+M10+M11</f>
        <v>51622.890082600003</v>
      </c>
      <c r="N12" s="80">
        <v>1</v>
      </c>
      <c r="O12" s="81" t="s">
        <v>96</v>
      </c>
    </row>
  </sheetData>
  <mergeCells count="8">
    <mergeCell ref="N6:N8"/>
    <mergeCell ref="O6:O8"/>
    <mergeCell ref="C6:D7"/>
    <mergeCell ref="E6:F7"/>
    <mergeCell ref="G6:G8"/>
    <mergeCell ref="H6:H8"/>
    <mergeCell ref="I6:L7"/>
    <mergeCell ref="M6:M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BC1A1-C425-4CC3-B2EA-D64E9344C18F}">
  <dimension ref="A3:C9"/>
  <sheetViews>
    <sheetView workbookViewId="0">
      <selection activeCell="B19" sqref="B19"/>
    </sheetView>
  </sheetViews>
  <sheetFormatPr defaultRowHeight="14.5" x14ac:dyDescent="0.35"/>
  <cols>
    <col min="1" max="1" width="5.1796875" customWidth="1"/>
    <col min="2" max="2" width="45.81640625" customWidth="1"/>
    <col min="3" max="3" width="64.1796875" customWidth="1"/>
  </cols>
  <sheetData>
    <row r="3" spans="1:3" ht="18.5" x14ac:dyDescent="0.45">
      <c r="A3" s="3" t="s">
        <v>307</v>
      </c>
    </row>
    <row r="6" spans="1:3" x14ac:dyDescent="0.35">
      <c r="A6" s="4"/>
      <c r="B6" s="82" t="s">
        <v>62</v>
      </c>
      <c r="C6" s="83" t="s">
        <v>226</v>
      </c>
    </row>
    <row r="7" spans="1:3" x14ac:dyDescent="0.35">
      <c r="A7" s="84">
        <v>1</v>
      </c>
      <c r="B7" s="85" t="s">
        <v>308</v>
      </c>
      <c r="C7" s="86">
        <f>62942737357/1000000</f>
        <v>62942.737356999998</v>
      </c>
    </row>
    <row r="8" spans="1:3" x14ac:dyDescent="0.35">
      <c r="A8" s="84">
        <v>2</v>
      </c>
      <c r="B8" s="85" t="s">
        <v>309</v>
      </c>
      <c r="C8" s="87">
        <v>0</v>
      </c>
    </row>
    <row r="9" spans="1:3" ht="29" x14ac:dyDescent="0.35">
      <c r="A9" s="84">
        <v>3</v>
      </c>
      <c r="B9" s="85" t="s">
        <v>310</v>
      </c>
      <c r="C9" s="86">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5B0D1-6EA8-490F-A130-1794FF1CCA35}">
  <dimension ref="A2:Q51"/>
  <sheetViews>
    <sheetView workbookViewId="0">
      <selection activeCell="A2" sqref="A2"/>
    </sheetView>
  </sheetViews>
  <sheetFormatPr defaultColWidth="8.7265625" defaultRowHeight="14.5" x14ac:dyDescent="0.35"/>
  <cols>
    <col min="1" max="1" width="3.81640625" style="88" customWidth="1"/>
    <col min="2" max="2" width="25.7265625" style="88" customWidth="1"/>
    <col min="3" max="3" width="8.54296875" style="88" customWidth="1"/>
    <col min="4" max="4" width="6.54296875" style="88" customWidth="1"/>
    <col min="5" max="6" width="6.81640625" style="88" customWidth="1"/>
    <col min="7" max="7" width="6.26953125" style="88" customWidth="1"/>
    <col min="8" max="8" width="6.453125" style="88" customWidth="1"/>
    <col min="9" max="9" width="7.453125" style="88" customWidth="1"/>
    <col min="10" max="10" width="6.1796875" style="88" customWidth="1"/>
    <col min="11" max="11" width="5.81640625" style="88" customWidth="1"/>
    <col min="12" max="12" width="6.453125" style="88" customWidth="1"/>
    <col min="13" max="13" width="5.54296875" style="88" customWidth="1"/>
    <col min="14" max="14" width="6.1796875" style="88" customWidth="1"/>
    <col min="15" max="15" width="8.54296875" style="88" customWidth="1"/>
    <col min="16" max="16" width="7.81640625" style="88" customWidth="1"/>
    <col min="17" max="17" width="6.81640625" style="88" customWidth="1"/>
    <col min="18" max="16384" width="8.7265625" style="88"/>
  </cols>
  <sheetData>
    <row r="2" spans="1:17" ht="18.5" x14ac:dyDescent="0.35">
      <c r="A2" s="58" t="s">
        <v>311</v>
      </c>
    </row>
    <row r="3" spans="1:17" ht="15.5" x14ac:dyDescent="0.35">
      <c r="A3" s="89"/>
      <c r="B3" s="90"/>
      <c r="C3" s="90"/>
      <c r="D3" s="90"/>
      <c r="E3" s="90"/>
      <c r="F3" s="90"/>
      <c r="G3" s="90"/>
      <c r="H3" s="90"/>
      <c r="I3" s="90"/>
      <c r="J3" s="90"/>
      <c r="K3" s="90"/>
      <c r="L3" s="90"/>
      <c r="M3" s="90"/>
      <c r="N3" s="90"/>
      <c r="O3" s="90"/>
      <c r="P3" s="90"/>
      <c r="Q3" s="90"/>
    </row>
    <row r="4" spans="1:17" ht="16" thickBot="1" x14ac:dyDescent="0.4">
      <c r="A4" s="89"/>
      <c r="B4" s="90"/>
      <c r="C4" s="90"/>
      <c r="D4" s="90"/>
      <c r="E4" s="90"/>
      <c r="F4" s="90"/>
      <c r="G4" s="90"/>
      <c r="H4" s="90"/>
      <c r="I4" s="90"/>
      <c r="J4" s="90"/>
      <c r="K4" s="90"/>
      <c r="L4" s="90"/>
      <c r="M4" s="90"/>
      <c r="N4" s="90"/>
      <c r="O4" s="90"/>
      <c r="P4" s="90"/>
      <c r="Q4" s="90"/>
    </row>
    <row r="5" spans="1:17" ht="16" thickBot="1" x14ac:dyDescent="0.4">
      <c r="A5" s="91"/>
      <c r="B5" s="92"/>
      <c r="C5" s="93" t="s">
        <v>226</v>
      </c>
      <c r="D5" s="93" t="s">
        <v>227</v>
      </c>
      <c r="E5" s="93" t="s">
        <v>228</v>
      </c>
      <c r="F5" s="93" t="s">
        <v>275</v>
      </c>
      <c r="G5" s="93" t="s">
        <v>276</v>
      </c>
      <c r="H5" s="93" t="s">
        <v>277</v>
      </c>
      <c r="I5" s="93" t="s">
        <v>278</v>
      </c>
      <c r="J5" s="93" t="s">
        <v>279</v>
      </c>
      <c r="K5" s="93" t="s">
        <v>280</v>
      </c>
      <c r="L5" s="93" t="s">
        <v>281</v>
      </c>
      <c r="M5" s="93" t="s">
        <v>282</v>
      </c>
      <c r="N5" s="93" t="s">
        <v>283</v>
      </c>
      <c r="O5" s="93" t="s">
        <v>284</v>
      </c>
      <c r="P5" s="93" t="s">
        <v>312</v>
      </c>
      <c r="Q5" s="93" t="s">
        <v>313</v>
      </c>
    </row>
    <row r="6" spans="1:17" ht="33" customHeight="1" thickBot="1" x14ac:dyDescent="0.4">
      <c r="A6" s="94"/>
      <c r="B6" s="95" t="s">
        <v>62</v>
      </c>
      <c r="C6" s="525" t="s">
        <v>314</v>
      </c>
      <c r="D6" s="526"/>
      <c r="E6" s="526"/>
      <c r="F6" s="526"/>
      <c r="G6" s="526"/>
      <c r="H6" s="527"/>
      <c r="I6" s="528" t="s">
        <v>315</v>
      </c>
      <c r="J6" s="526"/>
      <c r="K6" s="526"/>
      <c r="L6" s="526"/>
      <c r="M6" s="526"/>
      <c r="N6" s="527"/>
      <c r="O6" s="529" t="s">
        <v>316</v>
      </c>
      <c r="P6" s="525" t="s">
        <v>317</v>
      </c>
      <c r="Q6" s="527"/>
    </row>
    <row r="7" spans="1:17" ht="45.75" customHeight="1" thickBot="1" x14ac:dyDescent="0.4">
      <c r="A7" s="94"/>
      <c r="B7" s="96"/>
      <c r="C7" s="531" t="s">
        <v>318</v>
      </c>
      <c r="D7" s="532"/>
      <c r="E7" s="533"/>
      <c r="F7" s="534" t="s">
        <v>319</v>
      </c>
      <c r="G7" s="532"/>
      <c r="H7" s="533"/>
      <c r="I7" s="534" t="s">
        <v>320</v>
      </c>
      <c r="J7" s="532"/>
      <c r="K7" s="533"/>
      <c r="L7" s="534" t="s">
        <v>321</v>
      </c>
      <c r="M7" s="532"/>
      <c r="N7" s="533"/>
      <c r="O7" s="530"/>
      <c r="P7" s="535" t="s">
        <v>322</v>
      </c>
      <c r="Q7" s="535" t="s">
        <v>323</v>
      </c>
    </row>
    <row r="8" spans="1:17" ht="23.5" thickBot="1" x14ac:dyDescent="0.4">
      <c r="A8" s="97"/>
      <c r="B8" s="98"/>
      <c r="C8" s="99"/>
      <c r="D8" s="93" t="s">
        <v>324</v>
      </c>
      <c r="E8" s="93" t="s">
        <v>325</v>
      </c>
      <c r="F8" s="99"/>
      <c r="G8" s="93" t="s">
        <v>325</v>
      </c>
      <c r="H8" s="93" t="s">
        <v>326</v>
      </c>
      <c r="I8" s="100"/>
      <c r="J8" s="101" t="s">
        <v>324</v>
      </c>
      <c r="K8" s="101" t="s">
        <v>325</v>
      </c>
      <c r="L8" s="99"/>
      <c r="M8" s="101" t="s">
        <v>325</v>
      </c>
      <c r="N8" s="101" t="s">
        <v>326</v>
      </c>
      <c r="O8" s="99"/>
      <c r="P8" s="536"/>
      <c r="Q8" s="536"/>
    </row>
    <row r="9" spans="1:17" ht="33" customHeight="1" thickBot="1" x14ac:dyDescent="0.4">
      <c r="A9" s="102" t="s">
        <v>327</v>
      </c>
      <c r="B9" s="95" t="s">
        <v>328</v>
      </c>
      <c r="C9" s="103">
        <v>9521.6755469199998</v>
      </c>
      <c r="D9" s="104">
        <v>9521.6755469199998</v>
      </c>
      <c r="E9" s="104">
        <v>0</v>
      </c>
      <c r="F9" s="103">
        <v>0</v>
      </c>
      <c r="G9" s="104">
        <v>0</v>
      </c>
      <c r="H9" s="104">
        <v>0</v>
      </c>
      <c r="I9" s="104">
        <v>0</v>
      </c>
      <c r="J9" s="103">
        <v>0</v>
      </c>
      <c r="K9" s="103">
        <v>0</v>
      </c>
      <c r="L9" s="103">
        <v>0</v>
      </c>
      <c r="M9" s="103">
        <v>0</v>
      </c>
      <c r="N9" s="103">
        <v>0</v>
      </c>
      <c r="O9" s="103">
        <v>0</v>
      </c>
      <c r="P9" s="104">
        <v>0</v>
      </c>
      <c r="Q9" s="104">
        <v>0</v>
      </c>
    </row>
    <row r="10" spans="1:17" ht="22.5" customHeight="1" thickBot="1" x14ac:dyDescent="0.4">
      <c r="A10" s="102" t="s">
        <v>301</v>
      </c>
      <c r="B10" s="95" t="s">
        <v>329</v>
      </c>
      <c r="C10" s="103">
        <f>SUM(C11:C15)+C17</f>
        <v>42995.24770142429</v>
      </c>
      <c r="D10" s="103">
        <f t="shared" ref="D10:Q10" si="0">SUM(D11:D15)+D17</f>
        <v>36714.31844770343</v>
      </c>
      <c r="E10" s="103">
        <f t="shared" si="0"/>
        <v>6158.7053261187048</v>
      </c>
      <c r="F10" s="103">
        <f t="shared" si="0"/>
        <v>3132.8062990070021</v>
      </c>
      <c r="G10" s="103">
        <f t="shared" si="0"/>
        <v>128.09637438000001</v>
      </c>
      <c r="H10" s="103">
        <f t="shared" si="0"/>
        <v>2883.0090183570019</v>
      </c>
      <c r="I10" s="103">
        <f t="shared" si="0"/>
        <v>334.97200744423236</v>
      </c>
      <c r="J10" s="103">
        <f t="shared" si="0"/>
        <v>149.25958125503598</v>
      </c>
      <c r="K10" s="103">
        <f t="shared" si="0"/>
        <v>185.71242618919615</v>
      </c>
      <c r="L10" s="103">
        <f t="shared" si="0"/>
        <v>862.04141441317893</v>
      </c>
      <c r="M10" s="103">
        <f t="shared" si="0"/>
        <v>7.5710294625644963</v>
      </c>
      <c r="N10" s="103">
        <f t="shared" si="0"/>
        <v>849.2241665098004</v>
      </c>
      <c r="O10" s="103">
        <f t="shared" si="0"/>
        <v>0</v>
      </c>
      <c r="P10" s="103">
        <f t="shared" si="0"/>
        <v>36202.548323576244</v>
      </c>
      <c r="Q10" s="103">
        <f t="shared" si="0"/>
        <v>2444.8839157745324</v>
      </c>
    </row>
    <row r="11" spans="1:17" ht="22.5" customHeight="1" thickBot="1" x14ac:dyDescent="0.4">
      <c r="A11" s="105" t="s">
        <v>305</v>
      </c>
      <c r="B11" s="106" t="s">
        <v>330</v>
      </c>
      <c r="C11" s="104">
        <v>0</v>
      </c>
      <c r="D11" s="104">
        <v>0</v>
      </c>
      <c r="E11" s="103">
        <v>0</v>
      </c>
      <c r="F11" s="103">
        <v>0</v>
      </c>
      <c r="G11" s="103">
        <v>0</v>
      </c>
      <c r="H11" s="103">
        <v>0</v>
      </c>
      <c r="I11" s="103">
        <v>0</v>
      </c>
      <c r="J11" s="103">
        <v>0</v>
      </c>
      <c r="K11" s="103">
        <v>0</v>
      </c>
      <c r="L11" s="103">
        <v>0</v>
      </c>
      <c r="M11" s="103">
        <v>0</v>
      </c>
      <c r="N11" s="103">
        <v>0</v>
      </c>
      <c r="O11" s="103">
        <v>0</v>
      </c>
      <c r="P11" s="104">
        <v>0</v>
      </c>
      <c r="Q11" s="104">
        <v>0</v>
      </c>
    </row>
    <row r="12" spans="1:17" ht="22.5" customHeight="1" thickBot="1" x14ac:dyDescent="0.4">
      <c r="A12" s="105" t="s">
        <v>331</v>
      </c>
      <c r="B12" s="106" t="s">
        <v>332</v>
      </c>
      <c r="C12" s="104">
        <v>0</v>
      </c>
      <c r="D12" s="104">
        <v>0</v>
      </c>
      <c r="E12" s="103">
        <v>0</v>
      </c>
      <c r="F12" s="103">
        <v>0</v>
      </c>
      <c r="G12" s="103">
        <v>0</v>
      </c>
      <c r="H12" s="103">
        <v>0</v>
      </c>
      <c r="I12" s="103">
        <v>0</v>
      </c>
      <c r="J12" s="103">
        <v>0</v>
      </c>
      <c r="K12" s="103">
        <v>0</v>
      </c>
      <c r="L12" s="103">
        <v>0</v>
      </c>
      <c r="M12" s="103">
        <v>0</v>
      </c>
      <c r="N12" s="103">
        <v>0</v>
      </c>
      <c r="O12" s="103">
        <v>0</v>
      </c>
      <c r="P12" s="104">
        <v>0</v>
      </c>
      <c r="Q12" s="104">
        <v>0</v>
      </c>
    </row>
    <row r="13" spans="1:17" ht="22.5" customHeight="1" thickBot="1" x14ac:dyDescent="0.4">
      <c r="A13" s="105" t="s">
        <v>333</v>
      </c>
      <c r="B13" s="106" t="s">
        <v>334</v>
      </c>
      <c r="C13" s="107">
        <v>619.57195159000003</v>
      </c>
      <c r="D13" s="103">
        <v>496.08972055999999</v>
      </c>
      <c r="E13" s="103">
        <v>1.2763514199999999</v>
      </c>
      <c r="F13" s="103">
        <v>8</v>
      </c>
      <c r="G13" s="103">
        <v>0</v>
      </c>
      <c r="H13" s="103">
        <v>8</v>
      </c>
      <c r="I13" s="103">
        <v>0.19186771426000002</v>
      </c>
      <c r="J13" s="103">
        <v>0.19103809426000001</v>
      </c>
      <c r="K13" s="103">
        <v>8.2961999999999999E-4</v>
      </c>
      <c r="L13" s="103">
        <v>8</v>
      </c>
      <c r="M13" s="103">
        <v>0</v>
      </c>
      <c r="N13" s="103">
        <v>8</v>
      </c>
      <c r="O13" s="103">
        <v>0</v>
      </c>
      <c r="P13" s="104">
        <v>1.5439999999999998E-5</v>
      </c>
      <c r="Q13" s="104">
        <v>0</v>
      </c>
    </row>
    <row r="14" spans="1:17" ht="22.5" customHeight="1" thickBot="1" x14ac:dyDescent="0.4">
      <c r="A14" s="105" t="s">
        <v>335</v>
      </c>
      <c r="B14" s="106" t="s">
        <v>336</v>
      </c>
      <c r="C14" s="107">
        <v>1633.987088304001</v>
      </c>
      <c r="D14" s="103">
        <v>1410.2397640490001</v>
      </c>
      <c r="E14" s="103">
        <v>223.747324255</v>
      </c>
      <c r="F14" s="103">
        <v>127.901745346</v>
      </c>
      <c r="G14" s="103">
        <v>5.3159899999999996E-3</v>
      </c>
      <c r="H14" s="103">
        <v>113.09840274599999</v>
      </c>
      <c r="I14" s="103">
        <v>18.257698194990098</v>
      </c>
      <c r="J14" s="103">
        <v>9.7296051355060182</v>
      </c>
      <c r="K14" s="103">
        <v>8.5280930594840694</v>
      </c>
      <c r="L14" s="103">
        <v>73.638715079472206</v>
      </c>
      <c r="M14" s="103">
        <v>6.9684E-4</v>
      </c>
      <c r="N14" s="103">
        <v>73.552714405885993</v>
      </c>
      <c r="O14" s="103">
        <v>0</v>
      </c>
      <c r="P14" s="104">
        <v>565.41903355993293</v>
      </c>
      <c r="Q14" s="104">
        <v>36.439510757920601</v>
      </c>
    </row>
    <row r="15" spans="1:17" ht="22.5" customHeight="1" thickBot="1" x14ac:dyDescent="0.4">
      <c r="A15" s="105" t="s">
        <v>337</v>
      </c>
      <c r="B15" s="106" t="s">
        <v>338</v>
      </c>
      <c r="C15" s="107">
        <v>15038.877789911547</v>
      </c>
      <c r="D15" s="103">
        <v>11211.265924800015</v>
      </c>
      <c r="E15" s="103">
        <v>3827.5938171193607</v>
      </c>
      <c r="F15" s="103">
        <v>1960.4819211710001</v>
      </c>
      <c r="G15" s="103">
        <v>77.00544273300001</v>
      </c>
      <c r="H15" s="103">
        <v>1820.291129638</v>
      </c>
      <c r="I15" s="103">
        <v>174.39215151424318</v>
      </c>
      <c r="J15" s="103">
        <v>78.910613042546004</v>
      </c>
      <c r="K15" s="103">
        <v>95.481538471697405</v>
      </c>
      <c r="L15" s="103">
        <v>500.81200240228503</v>
      </c>
      <c r="M15" s="103">
        <v>4.7940878548601198</v>
      </c>
      <c r="N15" s="103">
        <v>491.25623800059583</v>
      </c>
      <c r="O15" s="103">
        <v>0</v>
      </c>
      <c r="P15" s="104">
        <v>12358.34228885873</v>
      </c>
      <c r="Q15" s="104">
        <v>1644.8038666300101</v>
      </c>
    </row>
    <row r="16" spans="1:17" ht="22.5" customHeight="1" thickBot="1" x14ac:dyDescent="0.4">
      <c r="A16" s="105" t="s">
        <v>339</v>
      </c>
      <c r="B16" s="108" t="s">
        <v>340</v>
      </c>
      <c r="C16" s="109"/>
      <c r="D16" s="109"/>
      <c r="E16" s="109"/>
      <c r="F16" s="110"/>
      <c r="G16" s="110"/>
      <c r="H16" s="110"/>
      <c r="I16" s="110"/>
      <c r="J16" s="110"/>
      <c r="K16" s="110"/>
      <c r="L16" s="110"/>
      <c r="M16" s="110"/>
      <c r="N16" s="110"/>
      <c r="O16" s="110"/>
      <c r="P16" s="110"/>
      <c r="Q16" s="110"/>
    </row>
    <row r="17" spans="1:17" ht="22.5" customHeight="1" thickBot="1" x14ac:dyDescent="0.4">
      <c r="A17" s="105" t="s">
        <v>341</v>
      </c>
      <c r="B17" s="106" t="s">
        <v>342</v>
      </c>
      <c r="C17" s="103">
        <v>25702.810871618745</v>
      </c>
      <c r="D17" s="103">
        <v>23596.723038294418</v>
      </c>
      <c r="E17" s="103">
        <v>2106.0878333243436</v>
      </c>
      <c r="F17" s="103">
        <v>1036.4226324900019</v>
      </c>
      <c r="G17" s="103">
        <v>51.085615656999998</v>
      </c>
      <c r="H17" s="103">
        <v>941.61948597300193</v>
      </c>
      <c r="I17" s="103">
        <v>142.1302900207391</v>
      </c>
      <c r="J17" s="103">
        <v>60.42832498272395</v>
      </c>
      <c r="K17" s="103">
        <v>81.701965038014691</v>
      </c>
      <c r="L17" s="103">
        <v>279.59069693142169</v>
      </c>
      <c r="M17" s="103">
        <v>2.7762447677043771</v>
      </c>
      <c r="N17" s="103">
        <v>276.41521410331865</v>
      </c>
      <c r="O17" s="104">
        <v>0</v>
      </c>
      <c r="P17" s="104">
        <v>23278.786985717579</v>
      </c>
      <c r="Q17" s="104">
        <v>763.64053838660197</v>
      </c>
    </row>
    <row r="18" spans="1:17" ht="22.5" customHeight="1" thickBot="1" x14ac:dyDescent="0.4">
      <c r="A18" s="111" t="s">
        <v>343</v>
      </c>
      <c r="B18" s="98" t="s">
        <v>344</v>
      </c>
      <c r="C18" s="103">
        <v>0</v>
      </c>
      <c r="D18" s="103">
        <v>0</v>
      </c>
      <c r="E18" s="103">
        <v>0</v>
      </c>
      <c r="F18" s="103">
        <v>0</v>
      </c>
      <c r="G18" s="103">
        <v>0</v>
      </c>
      <c r="H18" s="103">
        <v>0</v>
      </c>
      <c r="I18" s="103">
        <v>0</v>
      </c>
      <c r="J18" s="103">
        <v>0</v>
      </c>
      <c r="K18" s="103">
        <v>0</v>
      </c>
      <c r="L18" s="103">
        <v>0</v>
      </c>
      <c r="M18" s="103">
        <v>0</v>
      </c>
      <c r="N18" s="103">
        <v>0</v>
      </c>
      <c r="O18" s="104">
        <v>0</v>
      </c>
      <c r="P18" s="104">
        <v>0</v>
      </c>
      <c r="Q18" s="104">
        <v>0</v>
      </c>
    </row>
    <row r="19" spans="1:17" ht="22.5" customHeight="1" thickBot="1" x14ac:dyDescent="0.4">
      <c r="A19" s="105" t="s">
        <v>345</v>
      </c>
      <c r="B19" s="106" t="s">
        <v>330</v>
      </c>
      <c r="C19" s="103">
        <v>0</v>
      </c>
      <c r="D19" s="103">
        <v>0</v>
      </c>
      <c r="E19" s="103">
        <v>0</v>
      </c>
      <c r="F19" s="103">
        <v>0</v>
      </c>
      <c r="G19" s="103">
        <v>0</v>
      </c>
      <c r="H19" s="103">
        <v>0</v>
      </c>
      <c r="I19" s="103">
        <v>0</v>
      </c>
      <c r="J19" s="103">
        <v>0</v>
      </c>
      <c r="K19" s="103">
        <v>0</v>
      </c>
      <c r="L19" s="103">
        <v>0</v>
      </c>
      <c r="M19" s="103">
        <v>0</v>
      </c>
      <c r="N19" s="103">
        <v>0</v>
      </c>
      <c r="O19" s="104">
        <v>0</v>
      </c>
      <c r="P19" s="104">
        <v>0</v>
      </c>
      <c r="Q19" s="104">
        <v>0</v>
      </c>
    </row>
    <row r="20" spans="1:17" ht="22.5" customHeight="1" thickBot="1" x14ac:dyDescent="0.4">
      <c r="A20" s="105" t="s">
        <v>346</v>
      </c>
      <c r="B20" s="106" t="s">
        <v>332</v>
      </c>
      <c r="C20" s="103">
        <v>0</v>
      </c>
      <c r="D20" s="103">
        <v>0</v>
      </c>
      <c r="E20" s="103">
        <v>0</v>
      </c>
      <c r="F20" s="103">
        <v>0</v>
      </c>
      <c r="G20" s="103">
        <v>0</v>
      </c>
      <c r="H20" s="103">
        <v>0</v>
      </c>
      <c r="I20" s="103">
        <v>0</v>
      </c>
      <c r="J20" s="103">
        <v>0</v>
      </c>
      <c r="K20" s="103">
        <v>0</v>
      </c>
      <c r="L20" s="103">
        <v>0</v>
      </c>
      <c r="M20" s="103">
        <v>0</v>
      </c>
      <c r="N20" s="103">
        <v>0</v>
      </c>
      <c r="O20" s="104">
        <v>0</v>
      </c>
      <c r="P20" s="104">
        <v>0</v>
      </c>
      <c r="Q20" s="104">
        <v>0</v>
      </c>
    </row>
    <row r="21" spans="1:17" ht="22.5" customHeight="1" thickBot="1" x14ac:dyDescent="0.4">
      <c r="A21" s="105" t="s">
        <v>347</v>
      </c>
      <c r="B21" s="106" t="s">
        <v>334</v>
      </c>
      <c r="C21" s="103">
        <v>0</v>
      </c>
      <c r="D21" s="103">
        <v>0</v>
      </c>
      <c r="E21" s="103">
        <v>0</v>
      </c>
      <c r="F21" s="103">
        <v>0</v>
      </c>
      <c r="G21" s="103">
        <v>0</v>
      </c>
      <c r="H21" s="103">
        <v>0</v>
      </c>
      <c r="I21" s="103">
        <v>0</v>
      </c>
      <c r="J21" s="103">
        <v>0</v>
      </c>
      <c r="K21" s="103">
        <v>0</v>
      </c>
      <c r="L21" s="103">
        <v>0</v>
      </c>
      <c r="M21" s="103">
        <v>0</v>
      </c>
      <c r="N21" s="103">
        <v>0</v>
      </c>
      <c r="O21" s="104">
        <v>0</v>
      </c>
      <c r="P21" s="104">
        <v>0</v>
      </c>
      <c r="Q21" s="104">
        <v>0</v>
      </c>
    </row>
    <row r="22" spans="1:17" ht="22.5" customHeight="1" thickBot="1" x14ac:dyDescent="0.4">
      <c r="A22" s="105" t="s">
        <v>348</v>
      </c>
      <c r="B22" s="106" t="s">
        <v>336</v>
      </c>
      <c r="C22" s="103">
        <v>0</v>
      </c>
      <c r="D22" s="103">
        <v>0</v>
      </c>
      <c r="E22" s="103">
        <v>0</v>
      </c>
      <c r="F22" s="103">
        <v>0</v>
      </c>
      <c r="G22" s="103">
        <v>0</v>
      </c>
      <c r="H22" s="103">
        <v>0</v>
      </c>
      <c r="I22" s="103">
        <v>0</v>
      </c>
      <c r="J22" s="103">
        <v>0</v>
      </c>
      <c r="K22" s="103">
        <v>0</v>
      </c>
      <c r="L22" s="103">
        <v>0</v>
      </c>
      <c r="M22" s="103">
        <v>0</v>
      </c>
      <c r="N22" s="103">
        <v>0</v>
      </c>
      <c r="O22" s="104">
        <v>0</v>
      </c>
      <c r="P22" s="104">
        <v>0</v>
      </c>
      <c r="Q22" s="104">
        <v>0</v>
      </c>
    </row>
    <row r="23" spans="1:17" ht="22.5" customHeight="1" thickBot="1" x14ac:dyDescent="0.4">
      <c r="A23" s="105" t="s">
        <v>349</v>
      </c>
      <c r="B23" s="106" t="s">
        <v>338</v>
      </c>
      <c r="C23" s="103">
        <v>0</v>
      </c>
      <c r="D23" s="103">
        <v>0</v>
      </c>
      <c r="E23" s="103">
        <v>0</v>
      </c>
      <c r="F23" s="103">
        <v>0</v>
      </c>
      <c r="G23" s="103">
        <v>0</v>
      </c>
      <c r="H23" s="103">
        <v>0</v>
      </c>
      <c r="I23" s="103">
        <v>0</v>
      </c>
      <c r="J23" s="103">
        <v>0</v>
      </c>
      <c r="K23" s="103">
        <v>0</v>
      </c>
      <c r="L23" s="103">
        <v>0</v>
      </c>
      <c r="M23" s="103">
        <v>0</v>
      </c>
      <c r="N23" s="103">
        <v>0</v>
      </c>
      <c r="O23" s="104">
        <v>0</v>
      </c>
      <c r="P23" s="104">
        <v>0</v>
      </c>
      <c r="Q23" s="104">
        <v>0</v>
      </c>
    </row>
    <row r="24" spans="1:17" ht="22.5" customHeight="1" thickBot="1" x14ac:dyDescent="0.4">
      <c r="A24" s="111" t="s">
        <v>350</v>
      </c>
      <c r="B24" s="98" t="s">
        <v>351</v>
      </c>
      <c r="C24" s="103">
        <f>SUM(C25:C30)</f>
        <v>40598.970129101333</v>
      </c>
      <c r="D24" s="103">
        <f t="shared" ref="D24:Q24" si="1">SUM(D25:D30)</f>
        <v>36836.346875231953</v>
      </c>
      <c r="E24" s="103">
        <f t="shared" si="1"/>
        <v>3760.2037970593128</v>
      </c>
      <c r="F24" s="103">
        <f t="shared" si="1"/>
        <v>934.39746429950105</v>
      </c>
      <c r="G24" s="103">
        <f t="shared" si="1"/>
        <v>55.305308659978003</v>
      </c>
      <c r="H24" s="103">
        <f t="shared" si="1"/>
        <v>813.34302494954409</v>
      </c>
      <c r="I24" s="103">
        <f t="shared" si="1"/>
        <v>42.49642215565742</v>
      </c>
      <c r="J24" s="103">
        <f t="shared" si="1"/>
        <v>28.832843235110833</v>
      </c>
      <c r="K24" s="103">
        <f t="shared" si="1"/>
        <v>13.663578920544575</v>
      </c>
      <c r="L24" s="103">
        <f t="shared" si="1"/>
        <v>179.16027712956028</v>
      </c>
      <c r="M24" s="103">
        <f t="shared" si="1"/>
        <v>0.25455971786552128</v>
      </c>
      <c r="N24" s="103">
        <f t="shared" si="1"/>
        <v>178.79605855985898</v>
      </c>
      <c r="O24" s="112"/>
      <c r="P24" s="104">
        <f t="shared" si="1"/>
        <v>10103.565838603841</v>
      </c>
      <c r="Q24" s="104">
        <f t="shared" si="1"/>
        <v>312.34251338738625</v>
      </c>
    </row>
    <row r="25" spans="1:17" ht="22.5" customHeight="1" thickBot="1" x14ac:dyDescent="0.4">
      <c r="A25" s="105" t="s">
        <v>352</v>
      </c>
      <c r="B25" s="106" t="s">
        <v>330</v>
      </c>
      <c r="C25" s="103">
        <v>0</v>
      </c>
      <c r="D25" s="103">
        <v>0</v>
      </c>
      <c r="E25" s="103">
        <v>0</v>
      </c>
      <c r="F25" s="103">
        <v>0</v>
      </c>
      <c r="G25" s="103">
        <v>0</v>
      </c>
      <c r="H25" s="103">
        <v>0</v>
      </c>
      <c r="I25" s="103">
        <v>0</v>
      </c>
      <c r="J25" s="103">
        <v>0</v>
      </c>
      <c r="K25" s="103">
        <v>0</v>
      </c>
      <c r="L25" s="103">
        <v>0</v>
      </c>
      <c r="M25" s="103">
        <v>0</v>
      </c>
      <c r="N25" s="103">
        <v>0</v>
      </c>
      <c r="O25" s="112"/>
      <c r="P25" s="104">
        <v>0</v>
      </c>
      <c r="Q25" s="104">
        <v>0</v>
      </c>
    </row>
    <row r="26" spans="1:17" ht="22.5" customHeight="1" thickBot="1" x14ac:dyDescent="0.4">
      <c r="A26" s="105" t="s">
        <v>353</v>
      </c>
      <c r="B26" s="106" t="s">
        <v>332</v>
      </c>
      <c r="C26" s="103">
        <v>104.62662109</v>
      </c>
      <c r="D26" s="103">
        <v>104.17276516</v>
      </c>
      <c r="E26" s="103">
        <v>0.45385593000000002</v>
      </c>
      <c r="F26" s="103">
        <v>1.94499E-3</v>
      </c>
      <c r="G26" s="103">
        <v>0</v>
      </c>
      <c r="H26" s="103">
        <v>1.94499E-3</v>
      </c>
      <c r="I26" s="103">
        <v>0.30151652000000001</v>
      </c>
      <c r="J26" s="103">
        <v>0.30151652000000001</v>
      </c>
      <c r="K26" s="103">
        <v>0</v>
      </c>
      <c r="L26" s="103">
        <v>0</v>
      </c>
      <c r="M26" s="103">
        <v>0</v>
      </c>
      <c r="N26" s="103">
        <v>0</v>
      </c>
      <c r="O26" s="112"/>
      <c r="P26" s="104">
        <v>0.95330294999999998</v>
      </c>
      <c r="Q26" s="104">
        <v>0</v>
      </c>
    </row>
    <row r="27" spans="1:17" ht="22.5" customHeight="1" thickBot="1" x14ac:dyDescent="0.4">
      <c r="A27" s="105" t="s">
        <v>354</v>
      </c>
      <c r="B27" s="106" t="s">
        <v>334</v>
      </c>
      <c r="C27" s="103">
        <v>339.01157802999995</v>
      </c>
      <c r="D27" s="103">
        <v>339.01157802999995</v>
      </c>
      <c r="E27" s="103">
        <v>0</v>
      </c>
      <c r="F27" s="103">
        <v>0</v>
      </c>
      <c r="G27" s="103">
        <v>0</v>
      </c>
      <c r="H27" s="103">
        <v>0</v>
      </c>
      <c r="I27" s="103">
        <v>0.10499605864600001</v>
      </c>
      <c r="J27" s="103">
        <v>0.10499605864600001</v>
      </c>
      <c r="K27" s="103">
        <v>0</v>
      </c>
      <c r="L27" s="103">
        <v>0</v>
      </c>
      <c r="M27" s="103">
        <v>0</v>
      </c>
      <c r="N27" s="103">
        <v>0</v>
      </c>
      <c r="O27" s="112"/>
      <c r="P27" s="104">
        <v>3.82225854</v>
      </c>
      <c r="Q27" s="104">
        <v>0</v>
      </c>
    </row>
    <row r="28" spans="1:17" ht="22.5" customHeight="1" thickBot="1" x14ac:dyDescent="0.4">
      <c r="A28" s="105" t="s">
        <v>355</v>
      </c>
      <c r="B28" s="106" t="s">
        <v>336</v>
      </c>
      <c r="C28" s="103">
        <v>1693.5817417899871</v>
      </c>
      <c r="D28" s="103">
        <v>1608.8382156799919</v>
      </c>
      <c r="E28" s="103">
        <v>84.743526109995997</v>
      </c>
      <c r="F28" s="103">
        <v>8.0120550599999998</v>
      </c>
      <c r="G28" s="103">
        <v>0</v>
      </c>
      <c r="H28" s="103">
        <v>7.0744671700000001</v>
      </c>
      <c r="I28" s="103">
        <v>3.5435407158542001</v>
      </c>
      <c r="J28" s="103">
        <v>3.4751329875342702</v>
      </c>
      <c r="K28" s="103">
        <v>6.8407728319934399E-2</v>
      </c>
      <c r="L28" s="103">
        <v>4.6620860269853992</v>
      </c>
      <c r="M28" s="103">
        <v>0</v>
      </c>
      <c r="N28" s="103">
        <v>4.6601178100000009</v>
      </c>
      <c r="O28" s="112"/>
      <c r="P28" s="104">
        <v>192.14010194741999</v>
      </c>
      <c r="Q28" s="104">
        <v>0.26379619134043697</v>
      </c>
    </row>
    <row r="29" spans="1:17" ht="22.5" customHeight="1" thickBot="1" x14ac:dyDescent="0.4">
      <c r="A29" s="105" t="s">
        <v>356</v>
      </c>
      <c r="B29" s="106" t="s">
        <v>338</v>
      </c>
      <c r="C29" s="103">
        <v>14427.715899449851</v>
      </c>
      <c r="D29" s="103">
        <v>12710.571302669929</v>
      </c>
      <c r="E29" s="103">
        <v>1714.725139969958</v>
      </c>
      <c r="F29" s="103">
        <v>641.470881499965</v>
      </c>
      <c r="G29" s="103">
        <v>25.189281069999002</v>
      </c>
      <c r="H29" s="103">
        <v>595.695909099966</v>
      </c>
      <c r="I29" s="103">
        <v>24.009835285218799</v>
      </c>
      <c r="J29" s="103">
        <v>17.179876043956732</v>
      </c>
      <c r="K29" s="103">
        <v>6.8299592412619701</v>
      </c>
      <c r="L29" s="103">
        <v>142.94859557988519</v>
      </c>
      <c r="M29" s="103">
        <v>0.13443966125667839</v>
      </c>
      <c r="N29" s="103">
        <v>142.7124799570222</v>
      </c>
      <c r="O29" s="112"/>
      <c r="P29" s="104">
        <v>4289.71107830048</v>
      </c>
      <c r="Q29" s="104">
        <v>224.50340738582651</v>
      </c>
    </row>
    <row r="30" spans="1:17" ht="22.5" customHeight="1" thickBot="1" x14ac:dyDescent="0.4">
      <c r="A30" s="105" t="s">
        <v>357</v>
      </c>
      <c r="B30" s="106" t="s">
        <v>342</v>
      </c>
      <c r="C30" s="103">
        <v>24034.034288741499</v>
      </c>
      <c r="D30" s="103">
        <v>22073.753013692032</v>
      </c>
      <c r="E30" s="103">
        <v>1960.2812750493588</v>
      </c>
      <c r="F30" s="103">
        <v>284.91258274953606</v>
      </c>
      <c r="G30" s="103">
        <v>30.116027589979002</v>
      </c>
      <c r="H30" s="103">
        <v>210.57070368957801</v>
      </c>
      <c r="I30" s="103">
        <v>14.536533575938421</v>
      </c>
      <c r="J30" s="103">
        <v>7.7713216249738295</v>
      </c>
      <c r="K30" s="103">
        <v>6.7652119509626703</v>
      </c>
      <c r="L30" s="103">
        <v>31.549595522689689</v>
      </c>
      <c r="M30" s="103">
        <v>0.12012005660884291</v>
      </c>
      <c r="N30" s="103">
        <v>31.423460792836789</v>
      </c>
      <c r="O30" s="112"/>
      <c r="P30" s="104">
        <v>5616.93909686594</v>
      </c>
      <c r="Q30" s="104">
        <v>87.575309810219309</v>
      </c>
    </row>
    <row r="31" spans="1:17" ht="22.5" customHeight="1" thickBot="1" x14ac:dyDescent="0.4">
      <c r="A31" s="113" t="s">
        <v>358</v>
      </c>
      <c r="B31" s="114" t="s">
        <v>300</v>
      </c>
      <c r="C31" s="115">
        <f t="shared" ref="C31:Q31" si="2">C9+C10+C18+C24</f>
        <v>93115.893377445624</v>
      </c>
      <c r="D31" s="115">
        <f t="shared" si="2"/>
        <v>83072.340869855383</v>
      </c>
      <c r="E31" s="115">
        <f t="shared" si="2"/>
        <v>9918.9091231780185</v>
      </c>
      <c r="F31" s="115">
        <f t="shared" si="2"/>
        <v>4067.2037633065029</v>
      </c>
      <c r="G31" s="115">
        <f t="shared" si="2"/>
        <v>183.40168303997802</v>
      </c>
      <c r="H31" s="115">
        <f t="shared" si="2"/>
        <v>3696.352043306546</v>
      </c>
      <c r="I31" s="115">
        <f t="shared" si="2"/>
        <v>377.46842959988976</v>
      </c>
      <c r="J31" s="115">
        <f t="shared" si="2"/>
        <v>178.09242449014681</v>
      </c>
      <c r="K31" s="115">
        <f t="shared" si="2"/>
        <v>199.37600510974073</v>
      </c>
      <c r="L31" s="115">
        <f t="shared" si="2"/>
        <v>1041.2016915427391</v>
      </c>
      <c r="M31" s="115">
        <f t="shared" si="2"/>
        <v>7.8255891804300175</v>
      </c>
      <c r="N31" s="115">
        <f t="shared" si="2"/>
        <v>1028.0202250696593</v>
      </c>
      <c r="O31" s="115">
        <f t="shared" si="2"/>
        <v>0</v>
      </c>
      <c r="P31" s="115">
        <f t="shared" si="2"/>
        <v>46306.114162180085</v>
      </c>
      <c r="Q31" s="115">
        <f t="shared" si="2"/>
        <v>2757.2264291619185</v>
      </c>
    </row>
    <row r="33" spans="4:4" x14ac:dyDescent="0.35">
      <c r="D33" s="116"/>
    </row>
    <row r="36" spans="4:4" x14ac:dyDescent="0.35">
      <c r="D36" s="116"/>
    </row>
    <row r="37" spans="4:4" x14ac:dyDescent="0.35">
      <c r="D37" s="116"/>
    </row>
    <row r="38" spans="4:4" x14ac:dyDescent="0.35">
      <c r="D38" s="116"/>
    </row>
    <row r="39" spans="4:4" x14ac:dyDescent="0.35">
      <c r="D39" s="116"/>
    </row>
    <row r="40" spans="4:4" x14ac:dyDescent="0.35">
      <c r="D40" s="116"/>
    </row>
    <row r="41" spans="4:4" x14ac:dyDescent="0.35">
      <c r="D41" s="116"/>
    </row>
    <row r="42" spans="4:4" x14ac:dyDescent="0.35">
      <c r="D42" s="116"/>
    </row>
    <row r="43" spans="4:4" x14ac:dyDescent="0.35">
      <c r="D43" s="116"/>
    </row>
    <row r="44" spans="4:4" x14ac:dyDescent="0.35">
      <c r="D44" s="116"/>
    </row>
    <row r="45" spans="4:4" x14ac:dyDescent="0.35">
      <c r="D45" s="116"/>
    </row>
    <row r="46" spans="4:4" x14ac:dyDescent="0.35">
      <c r="D46" s="116"/>
    </row>
    <row r="47" spans="4:4" x14ac:dyDescent="0.35">
      <c r="D47" s="116"/>
    </row>
    <row r="48" spans="4:4" x14ac:dyDescent="0.35">
      <c r="D48" s="116"/>
    </row>
    <row r="49" spans="4:4" x14ac:dyDescent="0.35">
      <c r="D49" s="116"/>
    </row>
    <row r="50" spans="4:4" x14ac:dyDescent="0.35">
      <c r="D50" s="116"/>
    </row>
    <row r="51" spans="4:4" x14ac:dyDescent="0.35">
      <c r="D51" s="116"/>
    </row>
  </sheetData>
  <mergeCells count="10">
    <mergeCell ref="C6:H6"/>
    <mergeCell ref="I6:N6"/>
    <mergeCell ref="O6:O7"/>
    <mergeCell ref="P6:Q6"/>
    <mergeCell ref="C7:E7"/>
    <mergeCell ref="F7:H7"/>
    <mergeCell ref="I7:K7"/>
    <mergeCell ref="L7:N7"/>
    <mergeCell ref="P7:P8"/>
    <mergeCell ref="Q7:Q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C2C2-62B2-4ACF-955E-7D86C1175B2D}">
  <dimension ref="A2:H9"/>
  <sheetViews>
    <sheetView workbookViewId="0">
      <selection activeCell="D17" sqref="D16:D17"/>
    </sheetView>
  </sheetViews>
  <sheetFormatPr defaultRowHeight="14.5" x14ac:dyDescent="0.35"/>
  <cols>
    <col min="1" max="1" width="4.1796875" customWidth="1"/>
    <col min="2" max="2" width="26.453125" customWidth="1"/>
    <col min="3" max="8" width="14" customWidth="1"/>
  </cols>
  <sheetData>
    <row r="2" spans="1:8" ht="18.5" x14ac:dyDescent="0.35">
      <c r="A2" s="58" t="s">
        <v>359</v>
      </c>
    </row>
    <row r="3" spans="1:8" x14ac:dyDescent="0.35">
      <c r="A3" s="117"/>
    </row>
    <row r="4" spans="1:8" x14ac:dyDescent="0.35">
      <c r="A4" s="118"/>
      <c r="B4" s="119"/>
      <c r="C4" s="82" t="s">
        <v>226</v>
      </c>
      <c r="D4" s="82" t="s">
        <v>227</v>
      </c>
      <c r="E4" s="82" t="s">
        <v>228</v>
      </c>
      <c r="F4" s="82" t="s">
        <v>275</v>
      </c>
      <c r="G4" s="82" t="s">
        <v>276</v>
      </c>
      <c r="H4" s="82" t="s">
        <v>277</v>
      </c>
    </row>
    <row r="5" spans="1:8" x14ac:dyDescent="0.35">
      <c r="A5" s="120"/>
      <c r="B5" s="121" t="s">
        <v>62</v>
      </c>
      <c r="C5" s="537" t="s">
        <v>360</v>
      </c>
      <c r="D5" s="537"/>
      <c r="E5" s="537"/>
      <c r="F5" s="537"/>
      <c r="G5" s="537"/>
      <c r="H5" s="537"/>
    </row>
    <row r="6" spans="1:8" ht="29" x14ac:dyDescent="0.35">
      <c r="A6" s="120"/>
      <c r="B6" s="122"/>
      <c r="C6" s="123" t="s">
        <v>361</v>
      </c>
      <c r="D6" s="123" t="s">
        <v>362</v>
      </c>
      <c r="E6" s="123" t="s">
        <v>363</v>
      </c>
      <c r="F6" s="123" t="s">
        <v>364</v>
      </c>
      <c r="G6" s="123" t="s">
        <v>365</v>
      </c>
      <c r="H6" s="123" t="s">
        <v>300</v>
      </c>
    </row>
    <row r="7" spans="1:8" ht="15.5" x14ac:dyDescent="0.35">
      <c r="A7" s="124">
        <v>1</v>
      </c>
      <c r="B7" s="125" t="s">
        <v>329</v>
      </c>
      <c r="C7" s="126">
        <v>5112.6000000000004</v>
      </c>
      <c r="D7" s="127">
        <v>8836.7999999999993</v>
      </c>
      <c r="E7" s="127">
        <v>11871.6</v>
      </c>
      <c r="F7" s="127">
        <v>18491.8</v>
      </c>
      <c r="G7" s="127">
        <v>0</v>
      </c>
      <c r="H7" s="128">
        <v>44312.800000000003</v>
      </c>
    </row>
    <row r="8" spans="1:8" ht="15.5" x14ac:dyDescent="0.35">
      <c r="A8" s="124">
        <v>2</v>
      </c>
      <c r="B8" s="125" t="s">
        <v>366</v>
      </c>
      <c r="C8" s="129">
        <v>0</v>
      </c>
      <c r="D8" s="130">
        <v>0</v>
      </c>
      <c r="E8" s="130">
        <v>0</v>
      </c>
      <c r="F8" s="130" t="s">
        <v>367</v>
      </c>
      <c r="G8" s="130">
        <v>0</v>
      </c>
      <c r="H8" s="131">
        <v>0</v>
      </c>
    </row>
    <row r="9" spans="1:8" ht="15.5" x14ac:dyDescent="0.35">
      <c r="A9" s="132">
        <v>3</v>
      </c>
      <c r="B9" s="133" t="s">
        <v>300</v>
      </c>
      <c r="C9" s="134">
        <v>5112.6000000000004</v>
      </c>
      <c r="D9" s="135">
        <v>8836.7999999999993</v>
      </c>
      <c r="E9" s="135">
        <v>11871.6</v>
      </c>
      <c r="F9" s="135">
        <v>18491.8</v>
      </c>
      <c r="G9" s="135">
        <v>0</v>
      </c>
      <c r="H9" s="136">
        <v>44312.800000000003</v>
      </c>
    </row>
  </sheetData>
  <mergeCells count="1">
    <mergeCell ref="C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ED12-21BA-403F-A397-9CCD7903301A}">
  <dimension ref="A2:C11"/>
  <sheetViews>
    <sheetView workbookViewId="0">
      <selection activeCell="F22" sqref="F22"/>
    </sheetView>
  </sheetViews>
  <sheetFormatPr defaultRowHeight="14.5" x14ac:dyDescent="0.35"/>
  <cols>
    <col min="2" max="2" width="30" customWidth="1"/>
    <col min="3" max="3" width="23.7265625" customWidth="1"/>
  </cols>
  <sheetData>
    <row r="2" spans="1:3" s="57" customFormat="1" ht="18.5" x14ac:dyDescent="0.45">
      <c r="A2" s="58" t="s">
        <v>368</v>
      </c>
      <c r="B2" s="152"/>
      <c r="C2" s="152"/>
    </row>
    <row r="3" spans="1:3" ht="16" thickBot="1" x14ac:dyDescent="0.4">
      <c r="A3" s="137"/>
      <c r="B3" s="138"/>
      <c r="C3" s="138"/>
    </row>
    <row r="4" spans="1:3" ht="16" thickBot="1" x14ac:dyDescent="0.4">
      <c r="A4" s="139"/>
      <c r="B4" s="140" t="s">
        <v>62</v>
      </c>
      <c r="C4" s="140" t="s">
        <v>226</v>
      </c>
    </row>
    <row r="5" spans="1:3" ht="16" thickBot="1" x14ac:dyDescent="0.4">
      <c r="A5" s="141"/>
      <c r="B5" s="142"/>
      <c r="C5" s="143" t="s">
        <v>369</v>
      </c>
    </row>
    <row r="6" spans="1:3" ht="25.5" thickBot="1" x14ac:dyDescent="0.4">
      <c r="A6" s="144" t="s">
        <v>301</v>
      </c>
      <c r="B6" s="145" t="s">
        <v>370</v>
      </c>
      <c r="C6" s="146">
        <v>2796.8792308839998</v>
      </c>
    </row>
    <row r="7" spans="1:3" ht="25.5" thickBot="1" x14ac:dyDescent="0.4">
      <c r="A7" s="147" t="s">
        <v>305</v>
      </c>
      <c r="B7" s="148" t="s">
        <v>371</v>
      </c>
      <c r="C7" s="146">
        <v>791.39527962800094</v>
      </c>
    </row>
    <row r="8" spans="1:3" ht="25.5" thickBot="1" x14ac:dyDescent="0.4">
      <c r="A8" s="147" t="s">
        <v>331</v>
      </c>
      <c r="B8" s="148" t="s">
        <v>372</v>
      </c>
      <c r="C8" s="146">
        <v>-713.04547861499998</v>
      </c>
    </row>
    <row r="9" spans="1:3" ht="25.5" thickBot="1" x14ac:dyDescent="0.4">
      <c r="A9" s="147" t="s">
        <v>333</v>
      </c>
      <c r="B9" s="149" t="s">
        <v>373</v>
      </c>
      <c r="C9" s="146">
        <v>-21.679760469999998</v>
      </c>
    </row>
    <row r="10" spans="1:3" ht="25.5" thickBot="1" x14ac:dyDescent="0.4">
      <c r="A10" s="147" t="s">
        <v>335</v>
      </c>
      <c r="B10" s="149" t="s">
        <v>374</v>
      </c>
      <c r="C10" s="146">
        <v>-691.36571814500007</v>
      </c>
    </row>
    <row r="11" spans="1:3" ht="25.5" thickBot="1" x14ac:dyDescent="0.4">
      <c r="A11" s="150" t="s">
        <v>337</v>
      </c>
      <c r="B11" s="151" t="s">
        <v>375</v>
      </c>
      <c r="C11" s="146">
        <f>C6+C7+C8</f>
        <v>2875.2290318970008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1AD2D94F4B4E47A443DA39A8C292EB" ma:contentTypeVersion="10" ma:contentTypeDescription="Create a new document." ma:contentTypeScope="" ma:versionID="f3db2966958d3afc1c15fca5cf56ffde">
  <xsd:schema xmlns:xsd="http://www.w3.org/2001/XMLSchema" xmlns:xs="http://www.w3.org/2001/XMLSchema" xmlns:p="http://schemas.microsoft.com/office/2006/metadata/properties" xmlns:ns1="http://schemas.microsoft.com/sharepoint/v3" xmlns:ns2="4503b5b0-1c3d-4787-8f06-95566248ce39" xmlns:ns3="b90f467a-db87-4755-a522-e1eb0c299599" targetNamespace="http://schemas.microsoft.com/office/2006/metadata/properties" ma:root="true" ma:fieldsID="ae5bd0ea47269be5159c299bbbb53a5e" ns1:_="" ns2:_="" ns3:_="">
    <xsd:import namespace="http://schemas.microsoft.com/sharepoint/v3"/>
    <xsd:import namespace="4503b5b0-1c3d-4787-8f06-95566248ce39"/>
    <xsd:import namespace="b90f467a-db87-4755-a522-e1eb0c2995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03b5b0-1c3d-4787-8f06-95566248ce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0f467a-db87-4755-a522-e1eb0c29959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3422B67-9BED-44AB-AA54-07533F72E115}">
  <ds:schemaRefs>
    <ds:schemaRef ds:uri="http://schemas.microsoft.com/sharepoint/v3/contenttype/forms"/>
  </ds:schemaRefs>
</ds:datastoreItem>
</file>

<file path=customXml/itemProps2.xml><?xml version="1.0" encoding="utf-8"?>
<ds:datastoreItem xmlns:ds="http://schemas.openxmlformats.org/officeDocument/2006/customXml" ds:itemID="{58963FF9-B348-47B5-9711-9B3240DDA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503b5b0-1c3d-4787-8f06-95566248ce39"/>
    <ds:schemaRef ds:uri="b90f467a-db87-4755-a522-e1eb0c2995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B0A5E6-7F14-47E0-80D5-C3A449EEAA01}">
  <ds:schemaRefs>
    <ds:schemaRef ds:uri="http://purl.org/dc/terms/"/>
    <ds:schemaRef ds:uri="http://schemas.openxmlformats.org/package/2006/metadata/core-properties"/>
    <ds:schemaRef ds:uri="http://schemas.microsoft.com/office/2006/documentManagement/types"/>
    <ds:schemaRef ds:uri="4503b5b0-1c3d-4787-8f06-95566248ce39"/>
    <ds:schemaRef ds:uri="http://purl.org/dc/elements/1.1/"/>
    <ds:schemaRef ds:uri="http://purl.org/dc/dcmitype/"/>
    <ds:schemaRef ds:uri="http://schemas.microsoft.com/office/infopath/2007/PartnerControls"/>
    <ds:schemaRef ds:uri="b90f467a-db87-4755-a522-e1eb0c299599"/>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22</vt:i4>
      </vt:variant>
    </vt:vector>
  </HeadingPairs>
  <TitlesOfParts>
    <vt:vector size="22" baseType="lpstr">
      <vt:lpstr>Indholdsfortegnelse</vt:lpstr>
      <vt:lpstr>Solvensbehov</vt:lpstr>
      <vt:lpstr>EU CC1 DK</vt:lpstr>
      <vt:lpstr>EU CC2 DK</vt:lpstr>
      <vt:lpstr>EU CCyB1 DK</vt:lpstr>
      <vt:lpstr>EU CCyB2 DK</vt:lpstr>
      <vt:lpstr>EU CR1 DK</vt:lpstr>
      <vt:lpstr>EU CR1-A DK</vt:lpstr>
      <vt:lpstr>EU CR2 DK</vt:lpstr>
      <vt:lpstr>EU CR3 DK</vt:lpstr>
      <vt:lpstr>EU CR4 DK</vt:lpstr>
      <vt:lpstr>EU CR5 DK</vt:lpstr>
      <vt:lpstr>EU CCR1 DK</vt:lpstr>
      <vt:lpstr>EU CCR2 DK</vt:lpstr>
      <vt:lpstr>EU CCR3 DK</vt:lpstr>
      <vt:lpstr>EU CCR5 DK</vt:lpstr>
      <vt:lpstr>EU CCR8 DK</vt:lpstr>
      <vt:lpstr>EU MR1 DK</vt:lpstr>
      <vt:lpstr>EU IRRBB1 DK</vt:lpstr>
      <vt:lpstr>EU LIQ2 DK</vt:lpstr>
      <vt:lpstr>EU LR1 - LRSum DK</vt:lpstr>
      <vt:lpstr>EU LR2 - LRCom DK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Mads Mathiassen</dc:creator>
  <cp:keywords/>
  <dc:description/>
  <cp:lastModifiedBy>Mads Mathiassen</cp:lastModifiedBy>
  <cp:revision/>
  <dcterms:created xsi:type="dcterms:W3CDTF">2022-08-10T12:32:49Z</dcterms:created>
  <dcterms:modified xsi:type="dcterms:W3CDTF">2022-08-11T09:31:52Z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0x0101000D1AD2D94F4B4E47A443DA39A8C292EB</vt:lpwstr>
  </property>
</Properties>
</file>